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metadata.xml" ContentType="application/vnd.openxmlformats-officedocument.spreadsheetml.sheetMetadata+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C:\REBRANDING\"/>
    </mc:Choice>
  </mc:AlternateContent>
  <xr:revisionPtr revIDLastSave="0" documentId="8_{3E144B9B-601C-4BED-8798-4D1703D0DF55}" xr6:coauthVersionLast="47" xr6:coauthVersionMax="47" xr10:uidLastSave="{00000000-0000-0000-0000-000000000000}"/>
  <workbookProtection workbookAlgorithmName="SHA-512" workbookHashValue="VudI0LYdnGl1FiPJNwa/GlYTxuC5gQEdbZP7SS7rHRTMI6xmCDwNwv1CYU04w563I14sA1LDy+cDQAQ4oYUjIQ==" workbookSaltValue="HANeS93qW/0eHEYekqImXg==" workbookSpinCount="100000" lockStructure="1"/>
  <bookViews>
    <workbookView xWindow="28680" yWindow="-120" windowWidth="29040" windowHeight="15840" tabRatio="791" firstSheet="14" activeTab="22" xr2:uid="{63F1CCFA-B2B3-4488-8AE5-E6D8835822F2}"/>
  </bookViews>
  <sheets>
    <sheet name="Terms-con" sheetId="4" r:id="rId1"/>
    <sheet name="CONTENTS" sheetId="60" r:id="rId2"/>
    <sheet name="Registration" sheetId="125" r:id="rId3"/>
    <sheet name="Information" sheetId="130" r:id="rId4"/>
    <sheet name="Summary" sheetId="58" r:id="rId5"/>
    <sheet name="Main" sheetId="56" r:id="rId6"/>
    <sheet name="Waste Register" sheetId="147" r:id="rId7"/>
    <sheet name="Input Sheets &gt;&gt;" sheetId="126" r:id="rId8"/>
    <sheet name="General Land Rehabilitation" sheetId="139" r:id="rId9"/>
    <sheet name="Wells" sheetId="154" r:id="rId10"/>
    <sheet name="Seismic and Infrastructure" sheetId="65" r:id="rId11"/>
    <sheet name="Pipelines" sheetId="148" r:id="rId12"/>
    <sheet name="Process Facilities" sheetId="152" r:id="rId13"/>
    <sheet name="Process Facilities User Build" sheetId="153" r:id="rId14"/>
    <sheet name="LNG Facilities User Build" sheetId="145" r:id="rId15"/>
    <sheet name="Water Facilities User Build" sheetId="77" r:id="rId16"/>
    <sheet name="Water Storage" sheetId="141" r:id="rId17"/>
    <sheet name="Water Storage User Build" sheetId="149" r:id="rId18"/>
    <sheet name="Investigation Contamination" sheetId="140" r:id="rId19"/>
    <sheet name="Assumptions" sheetId="18" r:id="rId20"/>
    <sheet name="Subrates" sheetId="134" r:id="rId21"/>
    <sheet name="Lists" sheetId="64" r:id="rId22"/>
    <sheet name="Rev History" sheetId="137" r:id="rId23"/>
  </sheets>
  <definedNames>
    <definedName name="_340F_Excavator">#REF!</definedName>
    <definedName name="_xlnm._FilterDatabase" localSheetId="5" hidden="1">Main!$B$1:$B$756</definedName>
    <definedName name="Activity_47">#REF!</definedName>
    <definedName name="Activity_48">#REF!</definedName>
    <definedName name="Activity_49">#REF!</definedName>
    <definedName name="Activity_wells">#REF!</definedName>
    <definedName name="Amendments">Lists!$C$107:$C$115</definedName>
    <definedName name="arid">Subrates!$D$45</definedName>
    <definedName name="Arid_nme">Lists!$C$43</definedName>
    <definedName name="Asphalt_thick_process_def">Assumptions!$E$106</definedName>
    <definedName name="ASSUMPTIONS">Assumptions!$C$3</definedName>
    <definedName name="BuildingsMain">Main!$D$123:$L$127</definedName>
    <definedName name="Camps_Activitytitle">#REF!</definedName>
    <definedName name="Camps_list">Lists!$C$143:$C$173</definedName>
    <definedName name="Camps_load_haul_values">#REF!</definedName>
    <definedName name="Camps_Subrates_Nme">Subrates!$C$259</definedName>
    <definedName name="Camps_subs_values">Subrates!$C$260:$D$290</definedName>
    <definedName name="CampsMain">Main!$D$89:$L$122</definedName>
    <definedName name="CampsMainInput">Main!$D$89:$L$122</definedName>
    <definedName name="Coal_seam_gas_____4_wells">Assumptions!$J$137</definedName>
    <definedName name="Coal_seam_gas____4_wells">Assumptions!$M$137</definedName>
    <definedName name="Coal_seam_gas__Single">Assumptions!$G$137</definedName>
    <definedName name="Con_gas_plants_list">Lists!$C$365:$C$371</definedName>
    <definedName name="con_oil_storage_list">Lists!$C$372:$C$378</definedName>
    <definedName name="conc_levy_sp_mass_defs">Assumptions!$C$216:$G$338</definedName>
    <definedName name="Concrete_disposal_facility">Assumptions!$D$155</definedName>
    <definedName name="Concrete_dispose_distance_range">#REF!</definedName>
    <definedName name="concrete_hlookcell">#REF!</definedName>
    <definedName name="concrete_slab_def">Assumptions!$E$107</definedName>
    <definedName name="Construction_Debris_Disposal_Gate_Fee">#REF!</definedName>
    <definedName name="Construction_labour">#REF!</definedName>
    <definedName name="Contam_load_haul_values">#REF!</definedName>
    <definedName name="Contaminants">Lists!$C$282:$C$291</definedName>
    <definedName name="CONTENTS">CONTENTS!$B$3</definedName>
    <definedName name="Conventional_gas__Single">Assumptions!$F$137</definedName>
    <definedName name="Conventional_oil__Single">Assumptions!$E$137</definedName>
    <definedName name="ConvGasMain">Main!$D$377:$L$383</definedName>
    <definedName name="ConvOilMain">Main!$D$386:$L$392</definedName>
    <definedName name="dam_activities_size">#REF!</definedName>
    <definedName name="dam_average_activities">#REF!</definedName>
    <definedName name="dam_average_line_seed">#REF!</definedName>
    <definedName name="Dam_Clean_lined">Lists!$C$104</definedName>
    <definedName name="Dam_Clean_unlined">Lists!$C$101</definedName>
    <definedName name="Dam_contam">Lists!$C$103:$C$104</definedName>
    <definedName name="dam_gm_def">Assumptions!$E$115</definedName>
    <definedName name="Dam_Heavy">Lists!$C$103</definedName>
    <definedName name="Dam_liner">Lists!$C$95:$C$96</definedName>
    <definedName name="Dam_liner_spmass_def">Assumptions!$E$112</definedName>
    <definedName name="dam_lists">Lists!$C$413:$C$547</definedName>
    <definedName name="Dam_NmeLists_Lined">Lists!$C$77</definedName>
    <definedName name="Dam_Regulated_NonReg">Lists!$C$99:$C$100</definedName>
    <definedName name="dam_sed_cl_un_def">Assumptions!$N$136</definedName>
    <definedName name="dam_sed_clean_def">Assumptions!$G$113</definedName>
    <definedName name="dam_sed_heavy_def">Assumptions!$F$113</definedName>
    <definedName name="Dam_size_list">Lists!$E$413:$E$427</definedName>
    <definedName name="Dam_size_list_area">Lists!$G$413:$G$416</definedName>
    <definedName name="Dam_Subrates_Nme">Subrates!$C$172</definedName>
    <definedName name="Dam_unlined_nme">#REF!</definedName>
    <definedName name="Dam_Xonliner_def">Assumptions!$E$114</definedName>
    <definedName name="Dams_Acts_area_rowheader">#REF!</definedName>
    <definedName name="Dams_Acts_area_values">#REF!</definedName>
    <definedName name="Dams_area_defs">Subrates!$C$173:$C$220</definedName>
    <definedName name="DEFAULTS">Assumptions!$C$3</definedName>
    <definedName name="Density_concrete">Assumptions!$E$22</definedName>
    <definedName name="Distance_camps_GPF_etc_modules">Assumptions!$D$150</definedName>
    <definedName name="Distance_major_modules">Assumptions!$D$149</definedName>
    <definedName name="Distance_portable_blg_tanks">Assumptions!$D$151</definedName>
    <definedName name="Distance_skids">Assumptions!$D$152</definedName>
    <definedName name="Dogman">#REF!</definedName>
    <definedName name="Dozer_D10_flats">#REF!</definedName>
    <definedName name="Dozer_D10_rip">#REF!</definedName>
    <definedName name="Dozer_push_length">Subrates!$C$23:$C$36</definedName>
    <definedName name="Dozer_push_values">Subrates!$D$23:$I$36</definedName>
    <definedName name="Dozers">Subrates!$D$22:$I$22</definedName>
    <definedName name="Earthworks_Supervisor___foreperson">#REF!</definedName>
    <definedName name="Electrician">#REF!</definedName>
    <definedName name="ERC">Summary!$H$29</definedName>
    <definedName name="Exc_cut_cable">Assumptions!$O$35</definedName>
    <definedName name="Exc_cut_pipe">Assumptions!$N$35</definedName>
    <definedName name="Exc_Grapple">#REF!</definedName>
    <definedName name="Fleet_GM">Subrates!$J$8:$J$10</definedName>
    <definedName name="Fleet_Sediment">Subrates!$K$8:$K$10</definedName>
    <definedName name="Fleet_size">Lists!$C$13:$C$18</definedName>
    <definedName name="Fluid">Lists!$C$26:$C$28</definedName>
    <definedName name="Gas_Processing_Plant">Lists!$C$32</definedName>
    <definedName name="GasProcessMain">Main!$D$364:$L$373</definedName>
    <definedName name="GasProcessMainfromInput">Main!$D$362:$L$396</definedName>
    <definedName name="GENERAL_LAND_REHABILITATION">'General Land Rehabilitation'!$D$3</definedName>
    <definedName name="GM_thick_process_def">Assumptions!$E$108</definedName>
    <definedName name="GPF_Lists">Lists!$C$354:$C$364</definedName>
    <definedName name="Gravel_Plant">Assumptions!$E$106</definedName>
    <definedName name="H_160__fits_340__Hammer">#REF!</definedName>
    <definedName name="hours">Assumptions!$E$7</definedName>
    <definedName name="INFORMATION_SHEET">Information!$C$4</definedName>
    <definedName name="Infrastructure">Lists!#REF!</definedName>
    <definedName name="INFRASTRUCTURE_INPUT_SHEET">'Seismic and Infrastructure'!$C$3</definedName>
    <definedName name="Inv_Activities_area">Subrates!$D$160</definedName>
    <definedName name="Inv_Activities_lump">Subrates!$D$159</definedName>
    <definedName name="INVESTIGATION_CONTAMINATION">'Investigation Contamination'!$D$3</definedName>
    <definedName name="Labour__General">#REF!</definedName>
    <definedName name="Land_Subs_Nme">Subrates!$C$42</definedName>
    <definedName name="liner_roll_defs">Assumptions!$R$35</definedName>
    <definedName name="Liquid">Lists!$C$39:$C$40</definedName>
    <definedName name="Liquid_waste_distance_range">#REF!</definedName>
    <definedName name="Liquid_waste_facility">Assumptions!$D$162</definedName>
    <definedName name="LIQUIFIED_NATURAL_GAS_PROCESSING_FACILITIES">'LNG Facilities User Build'!$D$3</definedName>
    <definedName name="LIQUIFIED_PETROLEUM_GAS_PROCESSING_FACILITIES">#REF!</definedName>
    <definedName name="LISTS">Lists!$C$3</definedName>
    <definedName name="LNGMain">Main!$D$401:$L$403</definedName>
    <definedName name="Load_and_Haul">Subrates!$C$9:$C$19</definedName>
    <definedName name="Load_and_Haul_Values">Subrates!$D$9:$I$19</definedName>
    <definedName name="Load_haul_camp_modules_values">#REF!</definedName>
    <definedName name="Load_haul_gm_2k_rate">#REF!</definedName>
    <definedName name="Long_distance_haul">#REF!</definedName>
    <definedName name="LPG_plant_list">Lists!$C$379:$C$380</definedName>
    <definedName name="LPGMain">Main!$D$395:$L$396</definedName>
    <definedName name="MAIN">Main!$D$2</definedName>
    <definedName name="MainTableHeading1">Main!$D$4</definedName>
    <definedName name="MainTableHeading1_Summary">Summary!$D$6</definedName>
    <definedName name="major_module_load_haul_values">#REF!</definedName>
    <definedName name="Mechanical_fitter">#REF!</definedName>
    <definedName name="Mod_trans_back">Assumptions!$I$73</definedName>
    <definedName name="Mod_trans_loaded">Assumptions!$H$73</definedName>
    <definedName name="native">Subrates!$D$44</definedName>
    <definedName name="Native_nme">Lists!$C$42</definedName>
    <definedName name="No_replace">#REF!</definedName>
    <definedName name="Panel_tank_con_thick">Assumptions!$I$126</definedName>
    <definedName name="pasture">Subrates!$D$43</definedName>
    <definedName name="Pasture_nme">Lists!$C$41</definedName>
    <definedName name="Perm_Camp">Assumptions!$F$97</definedName>
    <definedName name="Pipe">Lists!$C$43:$C$44</definedName>
    <definedName name="Pipe_ag_buried">Lists!$C$550:$C$551</definedName>
    <definedName name="Pipeline_Rehab_Status">Lists!$C$21:$C$23</definedName>
    <definedName name="PIPELINES_LAND_INPUT_SHEET">Pipelines!$C$3</definedName>
    <definedName name="Pipelines_Subrates_Nme">Subrates!$C$293</definedName>
    <definedName name="Plants">Lists!$C$31:$C$38</definedName>
    <definedName name="Plants_short_list">Lists!$F$32:$F$35</definedName>
    <definedName name="Poles_distance_range">#REF!</definedName>
    <definedName name="PowerMain">Main!$D$135:$L$147</definedName>
    <definedName name="_xlnm.Print_Area" localSheetId="19">Assumptions!$A$1:$N$175</definedName>
    <definedName name="_xlnm.Print_Area" localSheetId="8">'General Land Rehabilitation'!$B$4:$O$37</definedName>
    <definedName name="_xlnm.Print_Area" localSheetId="18">'Investigation Contamination'!$B$5:$M$21</definedName>
    <definedName name="_xlnm.Print_Area" localSheetId="14">'LNG Facilities User Build'!$B$1:$V$3</definedName>
    <definedName name="_xlnm.Print_Area" localSheetId="0">'Terms-con'!$A$1:$BD$56</definedName>
    <definedName name="_xlnm.Print_Titles" localSheetId="5">Main!$4:$4</definedName>
    <definedName name="PROCESS_FACILITIES">'Process Facilities'!$C$3</definedName>
    <definedName name="Process_Facilities_Nme">Subrates!$C$328</definedName>
    <definedName name="PROCESS_FACILITIES_USER_BUILD">'Process Facilities User Build'!$B$3</definedName>
    <definedName name="Process_facs_values_subs">Subrates!$C$329:$D$366</definedName>
    <definedName name="Processing_Plants">#REF!</definedName>
    <definedName name="REGISTRATION">Registration!$C$3</definedName>
    <definedName name="Remove">Lists!#REF!</definedName>
    <definedName name="Replace_rock">#REF!</definedName>
    <definedName name="Salt_load_haul_values">#REF!</definedName>
    <definedName name="Seed_type">Lists!$C$41:$C$43</definedName>
    <definedName name="seed_type_wells">Lists!$D$41:$D$42</definedName>
    <definedName name="Soil_amend_distance_values">#REF!</definedName>
    <definedName name="Soil_amend_values">Assumptions!$D$178:$H$188</definedName>
    <definedName name="Soil_Ammendment_Distances">Assumptions!$C$176</definedName>
    <definedName name="Stand_alone_gas_compressor">Lists!$C$31</definedName>
    <definedName name="Steel_density">Assumptions!$E$21</definedName>
    <definedName name="Steel_distance_range">#REF!</definedName>
    <definedName name="Steel_metal_dispose_facility">Assumptions!$D$157</definedName>
    <definedName name="SUB_RATES">Subrates!$C$3</definedName>
    <definedName name="Subrates_Table_1">Subrates!$B$6</definedName>
    <definedName name="Subrates_Table_2">Subrates!$B$21</definedName>
    <definedName name="Subrates_Table_3">Subrates!$B$38</definedName>
    <definedName name="Subrates_Table_4">Subrates!$B$42</definedName>
    <definedName name="SUMMARY">Summary!$D$4</definedName>
    <definedName name="Surface">Lists!$C$46:$C$49</definedName>
    <definedName name="Surface_replace">#REF!</definedName>
    <definedName name="Tank_base">Lists!$C$70:$C$75</definedName>
    <definedName name="Tank_Concrete_Ring_nme">Lists!$C$55</definedName>
    <definedName name="Tank_contain">Lists!$C$81:$C$83</definedName>
    <definedName name="Tank_geo_spmass_def">Assumptions!$E$120</definedName>
    <definedName name="Tank_gm_thick_def">Assumptions!$E$134</definedName>
    <definedName name="Tank_hor_nme">Lists!$C$53</definedName>
    <definedName name="Tank_liner">Lists!$C$77:$C$79</definedName>
    <definedName name="Tank_liner_spmass_def">Assumptions!$E$121</definedName>
    <definedName name="tank_list">Subrates!$C$101:$C$148</definedName>
    <definedName name="tank_list_values">Subrates!$C$101:$D$148</definedName>
    <definedName name="Tank_Panel_nme">Lists!$C$56</definedName>
    <definedName name="Tank_Rainwater_nme">Lists!$C$58</definedName>
    <definedName name="Tank_top">Lists!$C$66:$C$68</definedName>
    <definedName name="Tank_type">Lists!$C$52:$C$59</definedName>
    <definedName name="Tank_value_def_hlook">Assumptions!$E$119:$K$134</definedName>
    <definedName name="Tank_values_activities">#REF!</definedName>
    <definedName name="Tank_Vertical_nme">Lists!$C$52</definedName>
    <definedName name="Tank_wall">Lists!$C$61:$C$64</definedName>
    <definedName name="TanksMain">Main!$D$620:$L$636</definedName>
    <definedName name="Temp_Camp">Assumptions!$E$97</definedName>
    <definedName name="TERMS_AND_CONDITIONS_OF_USE">'Terms-con'!$C$7</definedName>
    <definedName name="Tight___shale_gas__Single">Assumptions!$H$137</definedName>
    <definedName name="Top">#REF!</definedName>
    <definedName name="Top_GLR">'General Land Rehabilitation'!$C$6</definedName>
    <definedName name="Top_InvSheet">'Investigation Contamination'!$C$4</definedName>
    <definedName name="Track_etc_defaults">Assumptions!$E$77:$N$93</definedName>
    <definedName name="Track_width_def">Assumptions!$E$77</definedName>
    <definedName name="tracks_etc_defs_cols">Assumptions!$E$76:$N$76</definedName>
    <definedName name="Tracks_etc_defs_hlook">Assumptions!$E$76:$N$93</definedName>
    <definedName name="tracks_etc_defs_rows">Assumptions!$C$77:$C$92</definedName>
    <definedName name="Tracks_laydown_values">#REF!</definedName>
    <definedName name="Trim__rock_rake___deep_rip">Subrates!$D$39</definedName>
    <definedName name="Truck_liquid_cap_def">Assumptions!$F$72</definedName>
    <definedName name="truck_load_mass">Assumptions!$G$69</definedName>
    <definedName name="truck_quad_mass_def">Assumptions!$G$70</definedName>
    <definedName name="truck_speed">Assumptions!$E$8</definedName>
    <definedName name="Units">#REF!</definedName>
    <definedName name="Waste_levy">Lists!$C$6:$C$10</definedName>
    <definedName name="Waste_levy_Metro">Lists!$C$8</definedName>
    <definedName name="Waste_Levy_regional">Lists!$C$7</definedName>
    <definedName name="WASTE_REGISTER">'Waste Register'!$C$3</definedName>
    <definedName name="WATER_FACILITIES___USER_BUILD">'Water Facilities User Build'!$B$3</definedName>
    <definedName name="WATER_STORAGE_INPUT_SHEET">'Water Storage'!$C$3</definedName>
    <definedName name="WATER_STORAGE_USER_BUILD">'Water Storage User Build'!$C$3</definedName>
    <definedName name="Water_Treatment_Plant">Lists!$C$33</definedName>
    <definedName name="WaterPlantMain">Main!$D$411:$L$435</definedName>
    <definedName name="WellList">Subrates!$C$228:$C$257</definedName>
    <definedName name="WellList_coreholes">Subrates!$C$223:$C$225</definedName>
    <definedName name="WellList_coreholes_values_subs">Subrates!$C$223:$F$225</definedName>
    <definedName name="WellList_values_subs">Subrates!$C$228:$F$257</definedName>
    <definedName name="WELLS_INPUT_SHEET">Wells!$C$3</definedName>
    <definedName name="Wells_pad_area_cols">Assumptions!$E$137:$Q$137</definedName>
    <definedName name="Wells_pad_area_rows">Assumptions!$C$139:$C$146</definedName>
    <definedName name="Wells_pad_values">Assumptions!$E$139:$Q$146</definedName>
    <definedName name="WTP_list">Lists!$C$384:$C$391</definedName>
    <definedName name="Z_2FACC61F_0CCB_4F9A_9FC4_FB98AB602DA6_.wvu.Cols" localSheetId="5" hidden="1">Main!$D:$DY</definedName>
    <definedName name="Z_2FACC61F_0CCB_4F9A_9FC4_FB98AB602DA6_.wvu.Cols" localSheetId="4" hidden="1">Summary!$K:$IN</definedName>
    <definedName name="Z_2FACC61F_0CCB_4F9A_9FC4_FB98AB602DA6_.wvu.Rows" localSheetId="5" hidden="1">Main!$744:$66179</definedName>
    <definedName name="Z_2FACC61F_0CCB_4F9A_9FC4_FB98AB602DA6_.wvu.Rows" localSheetId="4" hidden="1">Summary!$106:$65490</definedName>
    <definedName name="Z_41A8ADCC_2507_4752_A3EE_F762BBC19AE1_.wvu.Cols" localSheetId="5" hidden="1">Main!$D:$DY</definedName>
    <definedName name="Z_41A8ADCC_2507_4752_A3EE_F762BBC19AE1_.wvu.Cols" localSheetId="4" hidden="1">Summary!$K:$IN</definedName>
    <definedName name="Z_41A8ADCC_2507_4752_A3EE_F762BBC19AE1_.wvu.Rows" localSheetId="5" hidden="1">Main!$744:$66179</definedName>
    <definedName name="Z_41A8ADCC_2507_4752_A3EE_F762BBC19AE1_.wvu.Rows" localSheetId="4" hidden="1">Summary!$106:$65490</definedName>
    <definedName name="Z_4CDCC75F_9EF8_4C61_98C8_402ABB879AE7_.wvu.Cols" localSheetId="5" hidden="1">Main!$D:$DY</definedName>
    <definedName name="Z_4CDCC75F_9EF8_4C61_98C8_402ABB879AE7_.wvu.Cols" localSheetId="4" hidden="1">Summary!$K:$IN</definedName>
    <definedName name="Z_4CDCC75F_9EF8_4C61_98C8_402ABB879AE7_.wvu.Rows" localSheetId="5" hidden="1">Main!$744:$66179</definedName>
    <definedName name="Z_4CDCC75F_9EF8_4C61_98C8_402ABB879AE7_.wvu.Rows" localSheetId="4" hidden="1">Summary!$106:$65490</definedName>
    <definedName name="Z_61CD6FD2_F6DE_422C_B544_3D388865927F_.wvu.Cols" localSheetId="5" hidden="1">Main!$D:$DY</definedName>
    <definedName name="Z_61CD6FD2_F6DE_422C_B544_3D388865927F_.wvu.Cols" localSheetId="4" hidden="1">Summary!$K:$IN</definedName>
    <definedName name="Z_61CD6FD2_F6DE_422C_B544_3D388865927F_.wvu.Rows" localSheetId="5" hidden="1">Main!$744:$66179</definedName>
    <definedName name="Z_61CD6FD2_F6DE_422C_B544_3D388865927F_.wvu.Rows" localSheetId="4" hidden="1">Summary!$106:$65490</definedName>
    <definedName name="Z_B9B8C2DC_3363_4EAD_9396_44349DABBC4D_.wvu.Cols" localSheetId="5" hidden="1">Main!$D:$DY</definedName>
    <definedName name="Z_B9B8C2DC_3363_4EAD_9396_44349DABBC4D_.wvu.Cols" localSheetId="4" hidden="1">Summary!$K:$IN</definedName>
    <definedName name="Z_B9B8C2DC_3363_4EAD_9396_44349DABBC4D_.wvu.Rows" localSheetId="5" hidden="1">Main!$744:$66179</definedName>
    <definedName name="Z_B9B8C2DC_3363_4EAD_9396_44349DABBC4D_.wvu.Rows" localSheetId="4" hidden="1">Summary!$106:$65490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137" l="1"/>
  <c r="D39" i="137"/>
  <c r="X50" i="4" l="1"/>
  <c r="L1" i="134" l="1"/>
  <c r="M1" i="134" s="1"/>
  <c r="N1" i="134" s="1"/>
  <c r="O1" i="134" s="1"/>
  <c r="O1" i="64"/>
  <c r="P1" i="64" s="1"/>
  <c r="Q1" i="64" s="1"/>
  <c r="R1" i="64" s="1"/>
  <c r="S1" i="64" s="1"/>
  <c r="T1" i="64" s="1"/>
  <c r="U1" i="64" s="1"/>
  <c r="V1" i="64" s="1"/>
  <c r="W1" i="64" s="1"/>
  <c r="X1" i="64" s="1"/>
  <c r="Y1" i="64" s="1"/>
  <c r="Z1" i="64" s="1"/>
  <c r="AA1" i="64" s="1"/>
  <c r="AB1" i="64" s="1"/>
  <c r="AC1" i="64" s="1"/>
  <c r="AD1" i="64" s="1"/>
  <c r="AE1" i="64" s="1"/>
  <c r="AF1" i="64" s="1"/>
  <c r="AG1" i="64" s="1"/>
  <c r="AH1" i="64" s="1"/>
  <c r="E37" i="152"/>
  <c r="H722" i="56"/>
  <c r="H721" i="56"/>
  <c r="H720" i="56"/>
  <c r="H719" i="56"/>
  <c r="H718" i="56"/>
  <c r="H717" i="56"/>
  <c r="H716" i="56"/>
  <c r="H715" i="56"/>
  <c r="H714" i="56"/>
  <c r="H713" i="56"/>
  <c r="H712" i="56"/>
  <c r="H711" i="56"/>
  <c r="H710" i="56"/>
  <c r="H709" i="56"/>
  <c r="M108" i="147"/>
  <c r="M109" i="147"/>
  <c r="M110" i="147"/>
  <c r="M111" i="147"/>
  <c r="M112" i="147"/>
  <c r="M113" i="147"/>
  <c r="M114" i="147"/>
  <c r="M115" i="147"/>
  <c r="M107" i="147"/>
  <c r="M103" i="147"/>
  <c r="P585" i="56" l="1"/>
  <c r="P597" i="56" s="1"/>
  <c r="P609" i="56" s="1"/>
  <c r="P586" i="56"/>
  <c r="P598" i="56" s="1"/>
  <c r="P610" i="56" s="1"/>
  <c r="P587" i="56"/>
  <c r="P599" i="56" s="1"/>
  <c r="P611" i="56" s="1"/>
  <c r="P588" i="56"/>
  <c r="P589" i="56"/>
  <c r="P601" i="56" s="1"/>
  <c r="P613" i="56" s="1"/>
  <c r="P590" i="56"/>
  <c r="P602" i="56" s="1"/>
  <c r="P614" i="56" s="1"/>
  <c r="P591" i="56"/>
  <c r="P603" i="56" s="1"/>
  <c r="P615" i="56" s="1"/>
  <c r="P592" i="56"/>
  <c r="P604" i="56" s="1"/>
  <c r="P616" i="56" s="1"/>
  <c r="P593" i="56"/>
  <c r="P605" i="56" s="1"/>
  <c r="P617" i="56" s="1"/>
  <c r="P594" i="56"/>
  <c r="P606" i="56" s="1"/>
  <c r="P618" i="56" s="1"/>
  <c r="P595" i="56"/>
  <c r="P607" i="56" s="1"/>
  <c r="P619" i="56" s="1"/>
  <c r="P600" i="56"/>
  <c r="P612" i="56" s="1"/>
  <c r="P584" i="56"/>
  <c r="P596" i="56" s="1"/>
  <c r="P608" i="56" s="1"/>
  <c r="BI11" i="149"/>
  <c r="BI12" i="149"/>
  <c r="BI13" i="149"/>
  <c r="BI14" i="149"/>
  <c r="BI15" i="149"/>
  <c r="BI16" i="149"/>
  <c r="BI17" i="149"/>
  <c r="BI18" i="149"/>
  <c r="BI19" i="149"/>
  <c r="BI20" i="149"/>
  <c r="BI21" i="149"/>
  <c r="BI22" i="149"/>
  <c r="BI23" i="149"/>
  <c r="BI24" i="149"/>
  <c r="BI25" i="149"/>
  <c r="BI26" i="149"/>
  <c r="BI27" i="149"/>
  <c r="BI28" i="149"/>
  <c r="BI29" i="149"/>
  <c r="BI30" i="149"/>
  <c r="BI31" i="149"/>
  <c r="BI32" i="149"/>
  <c r="BI33" i="149"/>
  <c r="BI34" i="149"/>
  <c r="BI35" i="149"/>
  <c r="BI36" i="149"/>
  <c r="BI37" i="149"/>
  <c r="BI38" i="149"/>
  <c r="BI39" i="149"/>
  <c r="BI10" i="149"/>
  <c r="AV21" i="149"/>
  <c r="E22" i="141"/>
  <c r="E34" i="141" s="1"/>
  <c r="E46" i="141" s="1"/>
  <c r="E58" i="141" s="1"/>
  <c r="E70" i="141" s="1"/>
  <c r="E23" i="141"/>
  <c r="E24" i="141"/>
  <c r="E25" i="141"/>
  <c r="E26" i="141"/>
  <c r="E27" i="141"/>
  <c r="E39" i="141" s="1"/>
  <c r="E51" i="141" s="1"/>
  <c r="E63" i="141" s="1"/>
  <c r="E28" i="141"/>
  <c r="E40" i="141" s="1"/>
  <c r="E52" i="141" s="1"/>
  <c r="E64" i="141" s="1"/>
  <c r="E29" i="141"/>
  <c r="E41" i="141" s="1"/>
  <c r="E53" i="141" s="1"/>
  <c r="E65" i="141" s="1"/>
  <c r="E30" i="141"/>
  <c r="E42" i="141" s="1"/>
  <c r="E54" i="141" s="1"/>
  <c r="E66" i="141" s="1"/>
  <c r="E31" i="141"/>
  <c r="E32" i="141"/>
  <c r="E33" i="141"/>
  <c r="E35" i="141"/>
  <c r="E47" i="141" s="1"/>
  <c r="E59" i="141" s="1"/>
  <c r="E36" i="141"/>
  <c r="E48" i="141" s="1"/>
  <c r="E60" i="141" s="1"/>
  <c r="E37" i="141"/>
  <c r="E49" i="141" s="1"/>
  <c r="E61" i="141" s="1"/>
  <c r="E38" i="141"/>
  <c r="E50" i="141" s="1"/>
  <c r="E62" i="141" s="1"/>
  <c r="E43" i="141"/>
  <c r="E55" i="141" s="1"/>
  <c r="E67" i="141" s="1"/>
  <c r="E44" i="141"/>
  <c r="E56" i="141" s="1"/>
  <c r="E68" i="141" s="1"/>
  <c r="E45" i="141"/>
  <c r="E57" i="141" s="1"/>
  <c r="E69" i="141" s="1"/>
  <c r="E21" i="141"/>
  <c r="G22" i="141"/>
  <c r="G25" i="141" s="1"/>
  <c r="G28" i="141" s="1"/>
  <c r="G31" i="141" s="1"/>
  <c r="G34" i="141" s="1"/>
  <c r="G37" i="141" s="1"/>
  <c r="G40" i="141" s="1"/>
  <c r="G43" i="141" s="1"/>
  <c r="G46" i="141" s="1"/>
  <c r="G49" i="141" s="1"/>
  <c r="G52" i="141" s="1"/>
  <c r="G55" i="141" s="1"/>
  <c r="G58" i="141" s="1"/>
  <c r="G61" i="141" s="1"/>
  <c r="G64" i="141" s="1"/>
  <c r="G23" i="141"/>
  <c r="G26" i="141" s="1"/>
  <c r="G29" i="141" s="1"/>
  <c r="G32" i="141" s="1"/>
  <c r="G35" i="141" s="1"/>
  <c r="G38" i="141" s="1"/>
  <c r="G41" i="141" s="1"/>
  <c r="G44" i="141" s="1"/>
  <c r="G47" i="141" s="1"/>
  <c r="G50" i="141" s="1"/>
  <c r="G53" i="141" s="1"/>
  <c r="G56" i="141" s="1"/>
  <c r="G59" i="141" s="1"/>
  <c r="G62" i="141" s="1"/>
  <c r="G65" i="141" s="1"/>
  <c r="G24" i="141"/>
  <c r="G27" i="141"/>
  <c r="G30" i="141"/>
  <c r="G33" i="141" s="1"/>
  <c r="G36" i="141" s="1"/>
  <c r="G39" i="141" s="1"/>
  <c r="G42" i="141" s="1"/>
  <c r="G45" i="141" s="1"/>
  <c r="G48" i="141" s="1"/>
  <c r="G51" i="141" s="1"/>
  <c r="G54" i="141" s="1"/>
  <c r="G57" i="141" s="1"/>
  <c r="G60" i="141" s="1"/>
  <c r="G63" i="141" s="1"/>
  <c r="G66" i="141" s="1"/>
  <c r="G13" i="141"/>
  <c r="G16" i="141" s="1"/>
  <c r="G19" i="141" s="1"/>
  <c r="G14" i="141"/>
  <c r="G17" i="141" s="1"/>
  <c r="G20" i="141" s="1"/>
  <c r="G15" i="141"/>
  <c r="G18" i="141" s="1"/>
  <c r="G21" i="141" s="1"/>
  <c r="G12" i="141"/>
  <c r="H16" i="141"/>
  <c r="H22" i="141" s="1"/>
  <c r="H28" i="141" s="1"/>
  <c r="H34" i="141" s="1"/>
  <c r="H40" i="141" s="1"/>
  <c r="H46" i="141" s="1"/>
  <c r="H52" i="141" s="1"/>
  <c r="H58" i="141" s="1"/>
  <c r="H64" i="141" s="1"/>
  <c r="H17" i="141"/>
  <c r="H18" i="141"/>
  <c r="H19" i="141"/>
  <c r="H20" i="141"/>
  <c r="H21" i="141"/>
  <c r="H27" i="141" s="1"/>
  <c r="H33" i="141" s="1"/>
  <c r="H39" i="141" s="1"/>
  <c r="H45" i="141" s="1"/>
  <c r="H51" i="141" s="1"/>
  <c r="H57" i="141" s="1"/>
  <c r="H63" i="141" s="1"/>
  <c r="H23" i="141"/>
  <c r="H29" i="141" s="1"/>
  <c r="H35" i="141" s="1"/>
  <c r="H41" i="141" s="1"/>
  <c r="H47" i="141" s="1"/>
  <c r="H53" i="141" s="1"/>
  <c r="H59" i="141" s="1"/>
  <c r="H65" i="141" s="1"/>
  <c r="H24" i="141"/>
  <c r="H30" i="141" s="1"/>
  <c r="H36" i="141" s="1"/>
  <c r="H42" i="141" s="1"/>
  <c r="H48" i="141" s="1"/>
  <c r="H54" i="141" s="1"/>
  <c r="H60" i="141" s="1"/>
  <c r="H25" i="141"/>
  <c r="H26" i="141"/>
  <c r="H31" i="141"/>
  <c r="H37" i="141" s="1"/>
  <c r="H43" i="141" s="1"/>
  <c r="H49" i="141" s="1"/>
  <c r="H55" i="141" s="1"/>
  <c r="H61" i="141" s="1"/>
  <c r="H32" i="141"/>
  <c r="H38" i="141" s="1"/>
  <c r="H44" i="141" s="1"/>
  <c r="H50" i="141" s="1"/>
  <c r="H56" i="141" s="1"/>
  <c r="H62" i="141" s="1"/>
  <c r="H15" i="141"/>
  <c r="F83" i="77"/>
  <c r="G83" i="77"/>
  <c r="H83" i="77"/>
  <c r="I83" i="77"/>
  <c r="J83" i="77"/>
  <c r="K83" i="77"/>
  <c r="L83" i="77"/>
  <c r="M83" i="77"/>
  <c r="N83" i="77"/>
  <c r="E83" i="77"/>
  <c r="C92" i="153"/>
  <c r="H89" i="153"/>
  <c r="I89" i="153"/>
  <c r="J89" i="153"/>
  <c r="K89" i="153"/>
  <c r="L89" i="153"/>
  <c r="M89" i="153"/>
  <c r="N89" i="153"/>
  <c r="O89" i="153"/>
  <c r="P89" i="153"/>
  <c r="Q89" i="153"/>
  <c r="R89" i="153"/>
  <c r="S89" i="153"/>
  <c r="T89" i="153"/>
  <c r="U89" i="153"/>
  <c r="V89" i="153"/>
  <c r="W89" i="153"/>
  <c r="X89" i="153"/>
  <c r="F89" i="153"/>
  <c r="G89" i="153"/>
  <c r="E89" i="153"/>
  <c r="Y78" i="153"/>
  <c r="Y77" i="153"/>
  <c r="Y76" i="153"/>
  <c r="Y75" i="153"/>
  <c r="Y74" i="153"/>
  <c r="Y73" i="153"/>
  <c r="Y72" i="153"/>
  <c r="Y71" i="153"/>
  <c r="Y70" i="153"/>
  <c r="Y69" i="153"/>
  <c r="Y68" i="153"/>
  <c r="Y67" i="153"/>
  <c r="Y66" i="153"/>
  <c r="Y65" i="153"/>
  <c r="Y64" i="153"/>
  <c r="Y63" i="153"/>
  <c r="Y62" i="153"/>
  <c r="Y61" i="153"/>
  <c r="Y60" i="153"/>
  <c r="Y59" i="153"/>
  <c r="Y58" i="153"/>
  <c r="Y57" i="153"/>
  <c r="Y56" i="153"/>
  <c r="Y55" i="153"/>
  <c r="Y54" i="153"/>
  <c r="Y53" i="153"/>
  <c r="Y52" i="153"/>
  <c r="Y51" i="153"/>
  <c r="Y50" i="153"/>
  <c r="Y49" i="153"/>
  <c r="E703" i="56" l="1"/>
  <c r="E704" i="56"/>
  <c r="E705" i="56"/>
  <c r="E706" i="56"/>
  <c r="C113" i="147"/>
  <c r="C114" i="147"/>
  <c r="C115" i="147"/>
  <c r="E722" i="56"/>
  <c r="E721" i="56"/>
  <c r="E720" i="56"/>
  <c r="E719" i="56"/>
  <c r="E718" i="56"/>
  <c r="E717" i="56"/>
  <c r="E714" i="56"/>
  <c r="E713" i="56"/>
  <c r="E716" i="56"/>
  <c r="E715" i="56"/>
  <c r="E712" i="56"/>
  <c r="E711" i="56"/>
  <c r="E710" i="56"/>
  <c r="E708" i="56"/>
  <c r="E3" i="147" l="1"/>
  <c r="D31" i="145" l="1"/>
  <c r="D36" i="145"/>
  <c r="D37" i="145"/>
  <c r="D35" i="145"/>
  <c r="BG11" i="149"/>
  <c r="BG12" i="149"/>
  <c r="BG13" i="149"/>
  <c r="BG14" i="149"/>
  <c r="BG15" i="149"/>
  <c r="BG16" i="149"/>
  <c r="BG17" i="149"/>
  <c r="BG18" i="149"/>
  <c r="BG19" i="149"/>
  <c r="BG20" i="149"/>
  <c r="BG21" i="149"/>
  <c r="BG22" i="149"/>
  <c r="BG23" i="149"/>
  <c r="BG24" i="149"/>
  <c r="BG25" i="149"/>
  <c r="BG26" i="149"/>
  <c r="BG27" i="149"/>
  <c r="BG28" i="149"/>
  <c r="BG29" i="149"/>
  <c r="BG30" i="149"/>
  <c r="BG31" i="149"/>
  <c r="BG32" i="149"/>
  <c r="BG33" i="149"/>
  <c r="BG34" i="149"/>
  <c r="BG35" i="149"/>
  <c r="BG36" i="149"/>
  <c r="BG37" i="149"/>
  <c r="BG38" i="149"/>
  <c r="BG39" i="149"/>
  <c r="BD12" i="149"/>
  <c r="BD13" i="149"/>
  <c r="BD14" i="149"/>
  <c r="BD15" i="149"/>
  <c r="BD16" i="149"/>
  <c r="BD17" i="149"/>
  <c r="BD18" i="149"/>
  <c r="BD19" i="149"/>
  <c r="BD20" i="149"/>
  <c r="BD21" i="149"/>
  <c r="BD22" i="149"/>
  <c r="BD23" i="149"/>
  <c r="BD24" i="149"/>
  <c r="BD25" i="149"/>
  <c r="BD26" i="149"/>
  <c r="BD27" i="149"/>
  <c r="BD28" i="149"/>
  <c r="BD29" i="149"/>
  <c r="BD30" i="149"/>
  <c r="BD31" i="149"/>
  <c r="BD32" i="149"/>
  <c r="BD33" i="149"/>
  <c r="BD34" i="149"/>
  <c r="BD35" i="149"/>
  <c r="BD36" i="149"/>
  <c r="BD37" i="149"/>
  <c r="BD38" i="149"/>
  <c r="BD39" i="149"/>
  <c r="AB11" i="149"/>
  <c r="AB12" i="149"/>
  <c r="AB13" i="149"/>
  <c r="AB14" i="149"/>
  <c r="AB15" i="149"/>
  <c r="AB16" i="149"/>
  <c r="AB17" i="149"/>
  <c r="AB18" i="149"/>
  <c r="AB19" i="149"/>
  <c r="AB20" i="149"/>
  <c r="AB21" i="149"/>
  <c r="AB22" i="149"/>
  <c r="AB23" i="149"/>
  <c r="AB24" i="149"/>
  <c r="AB25" i="149"/>
  <c r="AB26" i="149"/>
  <c r="AB27" i="149"/>
  <c r="AB28" i="149"/>
  <c r="AB29" i="149"/>
  <c r="AB30" i="149"/>
  <c r="AB31" i="149"/>
  <c r="AB32" i="149"/>
  <c r="AB33" i="149"/>
  <c r="AB34" i="149"/>
  <c r="AB35" i="149"/>
  <c r="AB36" i="149"/>
  <c r="AB37" i="149"/>
  <c r="AB38" i="149"/>
  <c r="AB39" i="149"/>
  <c r="AB10" i="149"/>
  <c r="Y10" i="149"/>
  <c r="K9" i="145" l="1"/>
  <c r="K10" i="145"/>
  <c r="K11" i="145"/>
  <c r="K12" i="145"/>
  <c r="K13" i="145"/>
  <c r="K14" i="145"/>
  <c r="K15" i="145"/>
  <c r="K16" i="145"/>
  <c r="K17" i="145"/>
  <c r="K18" i="145"/>
  <c r="K19" i="145"/>
  <c r="K20" i="145"/>
  <c r="K21" i="145"/>
  <c r="K22" i="145"/>
  <c r="K23" i="145"/>
  <c r="K24" i="145"/>
  <c r="K25" i="145"/>
  <c r="K26" i="145"/>
  <c r="K27" i="145"/>
  <c r="K28" i="145"/>
  <c r="K29" i="145"/>
  <c r="K30" i="145"/>
  <c r="K31" i="145"/>
  <c r="K32" i="145"/>
  <c r="K33" i="145"/>
  <c r="K34" i="145"/>
  <c r="K35" i="145"/>
  <c r="K36" i="145"/>
  <c r="K37" i="145"/>
  <c r="K38" i="145"/>
  <c r="K39" i="145"/>
  <c r="K40" i="145"/>
  <c r="K41" i="145"/>
  <c r="D17" i="145"/>
  <c r="F58" i="141" l="1"/>
  <c r="F59" i="141"/>
  <c r="F57" i="141"/>
  <c r="BK10" i="141"/>
  <c r="BK11" i="141"/>
  <c r="BK12" i="141"/>
  <c r="BK13" i="141"/>
  <c r="BK14" i="141"/>
  <c r="BK9" i="141"/>
  <c r="BK21" i="141" l="1"/>
  <c r="BK18" i="141"/>
  <c r="BK17" i="141"/>
  <c r="BK19" i="141"/>
  <c r="BK20" i="141"/>
  <c r="BK25" i="141"/>
  <c r="BK22" i="141"/>
  <c r="BK16" i="141"/>
  <c r="BK15" i="141"/>
  <c r="E27" i="65"/>
  <c r="E37" i="65" s="1"/>
  <c r="E5" i="65"/>
  <c r="AR54" i="4"/>
  <c r="AY50" i="4"/>
  <c r="AV50" i="4"/>
  <c r="AT50" i="4"/>
  <c r="AD54" i="4"/>
  <c r="P54" i="4"/>
  <c r="AK50" i="4"/>
  <c r="AH50" i="4"/>
  <c r="AF50" i="4"/>
  <c r="W50" i="4"/>
  <c r="T50" i="4"/>
  <c r="R50" i="4"/>
  <c r="Y50" i="4"/>
  <c r="E16" i="65" l="1"/>
  <c r="E8" i="65"/>
  <c r="AW50" i="4"/>
  <c r="U50" i="4"/>
  <c r="AI50" i="4"/>
  <c r="E30" i="65"/>
  <c r="E43" i="65"/>
  <c r="E42" i="65"/>
  <c r="E41" i="65"/>
  <c r="E33" i="65"/>
  <c r="E36" i="65"/>
  <c r="E35" i="65"/>
  <c r="E34" i="65"/>
  <c r="E21" i="65"/>
  <c r="E12" i="65"/>
  <c r="E19" i="65"/>
  <c r="E11" i="65"/>
  <c r="E40" i="65"/>
  <c r="E32" i="65"/>
  <c r="E14" i="65"/>
  <c r="E18" i="65"/>
  <c r="E10" i="65"/>
  <c r="E39" i="65"/>
  <c r="E31" i="65"/>
  <c r="E13" i="65"/>
  <c r="E20" i="65"/>
  <c r="E17" i="65"/>
  <c r="E9" i="65"/>
  <c r="E38" i="65"/>
  <c r="E15" i="65"/>
  <c r="BK24" i="141"/>
  <c r="BK30" i="141"/>
  <c r="BK29" i="141"/>
  <c r="BK23" i="141"/>
  <c r="BK26" i="141"/>
  <c r="BK31" i="141"/>
  <c r="BK27" i="141"/>
  <c r="BK36" i="141"/>
  <c r="BK28" i="141"/>
  <c r="BK35" i="141" l="1"/>
  <c r="BK32" i="141"/>
  <c r="BK42" i="141"/>
  <c r="BK34" i="141"/>
  <c r="BK37" i="141"/>
  <c r="BK33" i="141"/>
  <c r="BK41" i="141"/>
  <c r="M5" i="148" a="1"/>
  <c r="M5" i="148" s="1"/>
  <c r="K109" i="65"/>
  <c r="K110" i="65"/>
  <c r="K108" i="65"/>
  <c r="P69" i="65"/>
  <c r="O69" i="65"/>
  <c r="N69" i="65"/>
  <c r="M69" i="65"/>
  <c r="L69" i="65"/>
  <c r="K69" i="65"/>
  <c r="J69" i="65"/>
  <c r="I46" i="65"/>
  <c r="H46" i="65"/>
  <c r="G46" i="65"/>
  <c r="F47" i="65"/>
  <c r="J70" i="65" s="1"/>
  <c r="F48" i="65"/>
  <c r="J71" i="65" s="1"/>
  <c r="F46" i="65"/>
  <c r="I24" i="65"/>
  <c r="H24" i="65"/>
  <c r="G24" i="65"/>
  <c r="E143" i="56"/>
  <c r="E144" i="56"/>
  <c r="E142" i="56"/>
  <c r="E90" i="56"/>
  <c r="E91" i="56"/>
  <c r="E92" i="56"/>
  <c r="E89" i="56"/>
  <c r="BK11" i="149"/>
  <c r="BK12" i="149"/>
  <c r="BK13" i="149"/>
  <c r="BK14" i="149"/>
  <c r="BK15" i="149"/>
  <c r="BK16" i="149"/>
  <c r="BK17" i="149"/>
  <c r="BK18" i="149"/>
  <c r="BK19" i="149"/>
  <c r="BK20" i="149"/>
  <c r="BK21" i="149"/>
  <c r="BK22" i="149"/>
  <c r="BK23" i="149"/>
  <c r="BK24" i="149"/>
  <c r="BK25" i="149"/>
  <c r="BK26" i="149"/>
  <c r="BK27" i="149"/>
  <c r="BK28" i="149"/>
  <c r="BK29" i="149"/>
  <c r="BK30" i="149"/>
  <c r="BK31" i="149"/>
  <c r="BK32" i="149"/>
  <c r="BK33" i="149"/>
  <c r="BK34" i="149"/>
  <c r="BK35" i="149"/>
  <c r="BK36" i="149"/>
  <c r="BK37" i="149"/>
  <c r="BK38" i="149"/>
  <c r="BK39" i="149"/>
  <c r="BK10" i="149"/>
  <c r="M11" i="149"/>
  <c r="M12" i="149"/>
  <c r="M13" i="149"/>
  <c r="M14" i="149"/>
  <c r="M15" i="149"/>
  <c r="M16" i="149"/>
  <c r="M17" i="149"/>
  <c r="M18" i="149"/>
  <c r="M19" i="149"/>
  <c r="M20" i="149"/>
  <c r="M21" i="149"/>
  <c r="M22" i="149"/>
  <c r="M23" i="149"/>
  <c r="M24" i="149"/>
  <c r="M25" i="149"/>
  <c r="M26" i="149"/>
  <c r="M27" i="149"/>
  <c r="M28" i="149"/>
  <c r="M29" i="149"/>
  <c r="M30" i="149"/>
  <c r="M31" i="149"/>
  <c r="M32" i="149"/>
  <c r="M33" i="149"/>
  <c r="M34" i="149"/>
  <c r="M35" i="149"/>
  <c r="M36" i="149"/>
  <c r="M37" i="149"/>
  <c r="M38" i="149"/>
  <c r="M39" i="149"/>
  <c r="M10" i="149"/>
  <c r="BK40" i="141" l="1"/>
  <c r="BK43" i="141"/>
  <c r="BK47" i="141"/>
  <c r="BK48" i="141"/>
  <c r="BK39" i="141"/>
  <c r="BK38" i="141"/>
  <c r="AC2" i="153"/>
  <c r="AB2" i="153"/>
  <c r="AA2" i="153"/>
  <c r="Z2" i="153"/>
  <c r="BK44" i="141" l="1"/>
  <c r="BK49" i="141"/>
  <c r="BK46" i="141"/>
  <c r="BK45" i="141"/>
  <c r="BK53" i="141"/>
  <c r="BK54" i="141"/>
  <c r="D92" i="153"/>
  <c r="E92" i="153" s="1"/>
  <c r="F92" i="153" s="1"/>
  <c r="G92" i="153" s="1"/>
  <c r="H92" i="153" s="1"/>
  <c r="I92" i="153" s="1"/>
  <c r="J92" i="153" s="1"/>
  <c r="K92" i="153" s="1"/>
  <c r="L92" i="153" s="1"/>
  <c r="M92" i="153" s="1"/>
  <c r="N92" i="153" s="1"/>
  <c r="O92" i="153" s="1"/>
  <c r="P92" i="153" s="1"/>
  <c r="Q92" i="153" s="1"/>
  <c r="R92" i="153" s="1"/>
  <c r="S92" i="153" s="1"/>
  <c r="T92" i="153" s="1"/>
  <c r="U92" i="153" s="1"/>
  <c r="V92" i="153" s="1"/>
  <c r="W92" i="153" s="1"/>
  <c r="X92" i="153" s="1"/>
  <c r="Y92" i="153" s="1"/>
  <c r="Y8" i="153"/>
  <c r="Y9" i="153"/>
  <c r="Y10" i="153"/>
  <c r="Y11" i="153"/>
  <c r="Y12" i="153"/>
  <c r="Y13" i="153"/>
  <c r="Y14" i="153"/>
  <c r="Y15" i="153"/>
  <c r="Y16" i="153"/>
  <c r="Y17" i="153"/>
  <c r="Y18" i="153"/>
  <c r="Y19" i="153"/>
  <c r="Y20" i="153"/>
  <c r="Y21" i="153"/>
  <c r="Y22" i="153"/>
  <c r="Y23" i="153"/>
  <c r="Y24" i="153"/>
  <c r="Y25" i="153"/>
  <c r="Y26" i="153"/>
  <c r="Y27" i="153"/>
  <c r="Y28" i="153"/>
  <c r="Y29" i="153"/>
  <c r="Y30" i="153"/>
  <c r="Y31" i="153"/>
  <c r="Y32" i="153"/>
  <c r="Y33" i="153"/>
  <c r="Y34" i="153"/>
  <c r="Y35" i="153"/>
  <c r="Y36" i="153"/>
  <c r="Y37" i="153"/>
  <c r="Y38" i="153"/>
  <c r="Y39" i="153"/>
  <c r="Y40" i="153"/>
  <c r="Y41" i="153"/>
  <c r="Y42" i="153"/>
  <c r="Y43" i="153"/>
  <c r="Y44" i="153"/>
  <c r="Y45" i="153"/>
  <c r="Y46" i="153"/>
  <c r="Y47" i="153"/>
  <c r="Y48" i="153"/>
  <c r="Y7" i="153"/>
  <c r="S36" i="152"/>
  <c r="S37" i="152" s="1"/>
  <c r="S38" i="152" s="1"/>
  <c r="S39" i="152" s="1"/>
  <c r="S40" i="152" s="1"/>
  <c r="S41" i="152" s="1"/>
  <c r="S42" i="152" s="1"/>
  <c r="S43" i="152" s="1"/>
  <c r="S44" i="152" s="1"/>
  <c r="S45" i="152" s="1"/>
  <c r="S46" i="152" s="1"/>
  <c r="S47" i="152" s="1"/>
  <c r="S48" i="152" s="1"/>
  <c r="S49" i="152" s="1"/>
  <c r="S50" i="152" s="1"/>
  <c r="S51" i="152" s="1"/>
  <c r="S52" i="152" s="1"/>
  <c r="S53" i="152" s="1"/>
  <c r="S54" i="152" s="1"/>
  <c r="S55" i="152" s="1"/>
  <c r="S56" i="152" s="1"/>
  <c r="S57" i="152" s="1"/>
  <c r="S58" i="152" s="1"/>
  <c r="B48" i="147"/>
  <c r="B41" i="147"/>
  <c r="B42" i="147"/>
  <c r="B43" i="147"/>
  <c r="B44" i="147"/>
  <c r="B45" i="147"/>
  <c r="B37" i="147"/>
  <c r="B38" i="147"/>
  <c r="B39" i="147"/>
  <c r="B40" i="147"/>
  <c r="B8" i="147"/>
  <c r="B9" i="147"/>
  <c r="B10" i="147"/>
  <c r="B11" i="147"/>
  <c r="B12" i="147"/>
  <c r="B13" i="147"/>
  <c r="B14" i="147"/>
  <c r="B15" i="147"/>
  <c r="B16" i="147"/>
  <c r="B17" i="147"/>
  <c r="B18" i="147"/>
  <c r="B19" i="147"/>
  <c r="B20" i="147"/>
  <c r="B21" i="147"/>
  <c r="B22" i="147"/>
  <c r="B23" i="147"/>
  <c r="B24" i="147"/>
  <c r="B25" i="147"/>
  <c r="B26" i="147"/>
  <c r="B27" i="147"/>
  <c r="B28" i="147"/>
  <c r="B29" i="147"/>
  <c r="B30" i="147"/>
  <c r="B31" i="147"/>
  <c r="B32" i="147"/>
  <c r="B33" i="147"/>
  <c r="B34" i="147"/>
  <c r="B35" i="147"/>
  <c r="B36" i="147"/>
  <c r="B7" i="147"/>
  <c r="DC4" i="154"/>
  <c r="DD4" i="154"/>
  <c r="E211" i="56" l="1"/>
  <c r="BK60" i="141"/>
  <c r="BK66" i="141"/>
  <c r="BK65" i="141"/>
  <c r="BK59" i="141"/>
  <c r="BK55" i="141"/>
  <c r="BK52" i="141"/>
  <c r="BK50" i="141"/>
  <c r="BK51" i="141"/>
  <c r="K375" i="56"/>
  <c r="L375" i="56" s="1"/>
  <c r="B375" i="56" s="1"/>
  <c r="BK56" i="141" l="1"/>
  <c r="BK57" i="141"/>
  <c r="BK58" i="141"/>
  <c r="BK61" i="141"/>
  <c r="BK67" i="141"/>
  <c r="BK69" i="141" l="1"/>
  <c r="BK63" i="141"/>
  <c r="BK62" i="141"/>
  <c r="BK68" i="141"/>
  <c r="BK70" i="141"/>
  <c r="BK64" i="141"/>
  <c r="AG41" i="149" l="1"/>
  <c r="AF41" i="149"/>
  <c r="K41" i="149"/>
  <c r="L41" i="149"/>
  <c r="J41" i="149"/>
  <c r="E613" i="56" l="1"/>
  <c r="E611" i="56"/>
  <c r="E612" i="56"/>
  <c r="E599" i="56"/>
  <c r="E601" i="56"/>
  <c r="E600" i="56"/>
  <c r="E587" i="56"/>
  <c r="E588" i="56"/>
  <c r="E589" i="56"/>
  <c r="E577" i="56"/>
  <c r="E576" i="56"/>
  <c r="E575" i="56"/>
  <c r="E572" i="56" l="1"/>
  <c r="E596" i="56"/>
  <c r="E608" i="56"/>
  <c r="E584" i="56"/>
  <c r="F4" i="154"/>
  <c r="K305" i="56"/>
  <c r="L305" i="56" s="1"/>
  <c r="B305" i="56" s="1"/>
  <c r="K280" i="56"/>
  <c r="L280" i="56" s="1"/>
  <c r="B280" i="56" s="1"/>
  <c r="K267" i="56"/>
  <c r="L267" i="56" s="1"/>
  <c r="B267" i="56" s="1"/>
  <c r="K242" i="56"/>
  <c r="L242" i="56" s="1"/>
  <c r="B242" i="56" s="1"/>
  <c r="K229" i="56"/>
  <c r="L229" i="56" s="1"/>
  <c r="B229" i="56" s="1"/>
  <c r="K318" i="56" l="1"/>
  <c r="L318" i="56" s="1"/>
  <c r="B318" i="56" s="1"/>
  <c r="E432" i="56" l="1"/>
  <c r="E4" i="154" l="1"/>
  <c r="B2" i="154"/>
  <c r="B47" i="147"/>
  <c r="B46" i="147"/>
  <c r="E135" i="56"/>
  <c r="E137" i="56" l="1"/>
  <c r="E136" i="56"/>
  <c r="L726" i="56" l="1"/>
  <c r="B726" i="56" s="1"/>
  <c r="C111" i="147"/>
  <c r="C112" i="147"/>
  <c r="L727" i="56"/>
  <c r="B727" i="56" s="1"/>
  <c r="E682" i="56"/>
  <c r="E681" i="56"/>
  <c r="N88" i="139"/>
  <c r="R75" i="139"/>
  <c r="Q75" i="139"/>
  <c r="J88" i="139"/>
  <c r="K88" i="139"/>
  <c r="B86" i="147" l="1"/>
  <c r="B87" i="147"/>
  <c r="B88" i="147"/>
  <c r="B89" i="147"/>
  <c r="B90" i="147"/>
  <c r="B91" i="147"/>
  <c r="B92" i="147"/>
  <c r="B93" i="147"/>
  <c r="B94" i="147"/>
  <c r="B95" i="147"/>
  <c r="B96" i="147"/>
  <c r="B97" i="147"/>
  <c r="B98" i="147"/>
  <c r="B99" i="147"/>
  <c r="B100" i="147"/>
  <c r="B101" i="147"/>
  <c r="B85" i="147"/>
  <c r="B75" i="147"/>
  <c r="B76" i="147"/>
  <c r="B74" i="147"/>
  <c r="B78" i="147"/>
  <c r="B79" i="147"/>
  <c r="B80" i="147"/>
  <c r="B81" i="147"/>
  <c r="B82" i="147"/>
  <c r="B83" i="147"/>
  <c r="B84" i="147"/>
  <c r="B77" i="147"/>
  <c r="B73" i="147"/>
  <c r="B72" i="147"/>
  <c r="B66" i="147"/>
  <c r="B67" i="147"/>
  <c r="B68" i="147"/>
  <c r="B69" i="147"/>
  <c r="B70" i="147"/>
  <c r="B71" i="147"/>
  <c r="B65" i="147"/>
  <c r="B63" i="147"/>
  <c r="B64" i="147"/>
  <c r="B59" i="147"/>
  <c r="B60" i="147"/>
  <c r="B61" i="147"/>
  <c r="B62" i="147"/>
  <c r="B58" i="147"/>
  <c r="B49" i="147"/>
  <c r="B50" i="147"/>
  <c r="B51" i="147"/>
  <c r="B52" i="147"/>
  <c r="B53" i="147"/>
  <c r="B54" i="147"/>
  <c r="B55" i="147"/>
  <c r="B56" i="147"/>
  <c r="B57" i="147"/>
  <c r="O35" i="56" l="1"/>
  <c r="O34" i="56"/>
  <c r="O33" i="56"/>
  <c r="L739" i="56" l="1"/>
  <c r="B739" i="56" s="1"/>
  <c r="L143" i="56" l="1"/>
  <c r="B143" i="56" s="1"/>
  <c r="L144" i="56"/>
  <c r="B144" i="56" s="1"/>
  <c r="L142" i="56"/>
  <c r="B142" i="56" s="1"/>
  <c r="K8" i="145"/>
  <c r="G39" i="145"/>
  <c r="J39" i="145" s="1"/>
  <c r="G40" i="145"/>
  <c r="J40" i="145" s="1"/>
  <c r="G41" i="145"/>
  <c r="J41" i="145" s="1"/>
  <c r="G38" i="145"/>
  <c r="J38" i="145" s="1"/>
  <c r="D27" i="145"/>
  <c r="D28" i="145"/>
  <c r="D29" i="145"/>
  <c r="D30" i="145"/>
  <c r="E30" i="145" s="1"/>
  <c r="D24" i="145"/>
  <c r="D25" i="145"/>
  <c r="D26" i="145"/>
  <c r="D23" i="145"/>
  <c r="D21" i="145"/>
  <c r="D12" i="145"/>
  <c r="D19" i="145"/>
  <c r="D20" i="145"/>
  <c r="D9" i="145"/>
  <c r="D10" i="145"/>
  <c r="D11" i="145"/>
  <c r="D8" i="145"/>
  <c r="G30" i="145" l="1"/>
  <c r="J30" i="145" s="1"/>
  <c r="E396" i="56" l="1"/>
  <c r="L152" i="152"/>
  <c r="K152" i="152" l="1"/>
  <c r="K154" i="152" s="1"/>
  <c r="L158" i="152"/>
  <c r="E395" i="56"/>
  <c r="L162" i="152"/>
  <c r="L156" i="152"/>
  <c r="L155" i="152"/>
  <c r="L154" i="152"/>
  <c r="L157" i="152"/>
  <c r="L163" i="152"/>
  <c r="L160" i="152"/>
  <c r="L159" i="152"/>
  <c r="L161" i="152"/>
  <c r="K157" i="152" l="1"/>
  <c r="K156" i="152"/>
  <c r="K163" i="152"/>
  <c r="K161" i="152"/>
  <c r="K155" i="152"/>
  <c r="K159" i="152"/>
  <c r="K160" i="152"/>
  <c r="K162" i="152"/>
  <c r="K158" i="152"/>
  <c r="Y11" i="149" l="1"/>
  <c r="Y12" i="149"/>
  <c r="Y13" i="149"/>
  <c r="Y14" i="149"/>
  <c r="Y15" i="149"/>
  <c r="Y16" i="149"/>
  <c r="Y17" i="149"/>
  <c r="Y18" i="149"/>
  <c r="Y19" i="149"/>
  <c r="Y20" i="149"/>
  <c r="Y21" i="149"/>
  <c r="Y22" i="149"/>
  <c r="Y23" i="149"/>
  <c r="Y24" i="149"/>
  <c r="Y25" i="149"/>
  <c r="Y26" i="149"/>
  <c r="Y27" i="149"/>
  <c r="Y28" i="149"/>
  <c r="Y29" i="149"/>
  <c r="Y30" i="149"/>
  <c r="Y31" i="149"/>
  <c r="Y32" i="149"/>
  <c r="Y33" i="149"/>
  <c r="Y34" i="149"/>
  <c r="Y35" i="149"/>
  <c r="Y36" i="149"/>
  <c r="Y37" i="149"/>
  <c r="Y38" i="149"/>
  <c r="Y39" i="149"/>
  <c r="I58" i="152" l="1"/>
  <c r="H58" i="152"/>
  <c r="G58" i="152"/>
  <c r="F58" i="152"/>
  <c r="B38" i="152"/>
  <c r="B39" i="152" s="1"/>
  <c r="B40" i="152" s="1"/>
  <c r="B41" i="152" s="1"/>
  <c r="B42" i="152" s="1"/>
  <c r="B43" i="152" s="1"/>
  <c r="B44" i="152" s="1"/>
  <c r="B45" i="152" s="1"/>
  <c r="B46" i="152" s="1"/>
  <c r="B47" i="152" s="1"/>
  <c r="B48" i="152" s="1"/>
  <c r="B49" i="152" s="1"/>
  <c r="B50" i="152" s="1"/>
  <c r="B51" i="152" s="1"/>
  <c r="B52" i="152" s="1"/>
  <c r="B53" i="152" s="1"/>
  <c r="B54" i="152" s="1"/>
  <c r="B55" i="152" s="1"/>
  <c r="B56" i="152" s="1"/>
  <c r="E709" i="56" l="1"/>
  <c r="E698" i="56"/>
  <c r="E699" i="56"/>
  <c r="E700" i="56"/>
  <c r="E701" i="56"/>
  <c r="E702" i="56"/>
  <c r="E697" i="56"/>
  <c r="C108" i="147"/>
  <c r="C109" i="147"/>
  <c r="C110" i="147"/>
  <c r="C107" i="147"/>
  <c r="E402" i="56" l="1"/>
  <c r="E403" i="56"/>
  <c r="I75" i="139"/>
  <c r="J75" i="139"/>
  <c r="K75" i="139"/>
  <c r="L75" i="139"/>
  <c r="M75" i="139"/>
  <c r="N75" i="139"/>
  <c r="O75" i="139"/>
  <c r="P75" i="139"/>
  <c r="H75" i="139"/>
  <c r="L690" i="56"/>
  <c r="B690" i="56" s="1"/>
  <c r="E689" i="56"/>
  <c r="E688" i="56"/>
  <c r="E684" i="56"/>
  <c r="E685" i="56"/>
  <c r="E686" i="56"/>
  <c r="E687" i="56"/>
  <c r="E683" i="56"/>
  <c r="E401" i="56" l="1"/>
  <c r="E92" i="139" l="1"/>
  <c r="H92" i="139"/>
  <c r="I92" i="139"/>
  <c r="G92" i="139"/>
  <c r="J92" i="139"/>
  <c r="F92" i="139"/>
  <c r="K92" i="139"/>
  <c r="E139" i="56" l="1"/>
  <c r="E140" i="56"/>
  <c r="E141" i="56"/>
  <c r="E138" i="56" l="1"/>
  <c r="L54" i="65" l="1"/>
  <c r="M54" i="65"/>
  <c r="P54" i="65"/>
  <c r="L55" i="65"/>
  <c r="M55" i="65"/>
  <c r="O55" i="65"/>
  <c r="K56" i="65"/>
  <c r="L56" i="65"/>
  <c r="M56" i="65"/>
  <c r="O56" i="65"/>
  <c r="P56" i="65"/>
  <c r="K57" i="65"/>
  <c r="M57" i="65"/>
  <c r="N57" i="65"/>
  <c r="O57" i="65"/>
  <c r="P57" i="65"/>
  <c r="K58" i="65"/>
  <c r="L58" i="65"/>
  <c r="N58" i="65"/>
  <c r="L59" i="65"/>
  <c r="M59" i="65"/>
  <c r="P59" i="65"/>
  <c r="L60" i="65"/>
  <c r="M60" i="65"/>
  <c r="P60" i="65"/>
  <c r="K61" i="65"/>
  <c r="L61" i="65"/>
  <c r="N61" i="65"/>
  <c r="K62" i="65"/>
  <c r="L62" i="65"/>
  <c r="M62" i="65"/>
  <c r="N62" i="65"/>
  <c r="O62" i="65"/>
  <c r="K63" i="65"/>
  <c r="L63" i="65"/>
  <c r="N63" i="65"/>
  <c r="O63" i="65"/>
  <c r="L64" i="65"/>
  <c r="N64" i="65"/>
  <c r="O64" i="65"/>
  <c r="L65" i="65"/>
  <c r="M65" i="65"/>
  <c r="N65" i="65"/>
  <c r="O65" i="65"/>
  <c r="P65" i="65"/>
  <c r="L66" i="65"/>
  <c r="M66" i="65"/>
  <c r="N66" i="65"/>
  <c r="O66" i="65"/>
  <c r="P66" i="65"/>
  <c r="P53" i="65"/>
  <c r="O53" i="65"/>
  <c r="N53" i="65"/>
  <c r="M53" i="65"/>
  <c r="L53" i="65"/>
  <c r="F54" i="65"/>
  <c r="F55" i="65"/>
  <c r="F56" i="65"/>
  <c r="F57" i="65"/>
  <c r="F58" i="65"/>
  <c r="F59" i="65"/>
  <c r="F60" i="65"/>
  <c r="F61" i="65"/>
  <c r="F62" i="65"/>
  <c r="F63" i="65"/>
  <c r="F64" i="65"/>
  <c r="F65" i="65"/>
  <c r="F66" i="65"/>
  <c r="F53" i="65"/>
  <c r="S65" i="152"/>
  <c r="S66" i="152" s="1"/>
  <c r="S67" i="152" s="1"/>
  <c r="S68" i="152" s="1"/>
  <c r="S69" i="152" s="1"/>
  <c r="S70" i="152" s="1"/>
  <c r="S71" i="152" s="1"/>
  <c r="S72" i="152" s="1"/>
  <c r="S73" i="152" s="1"/>
  <c r="S74" i="152" s="1"/>
  <c r="S75" i="152" s="1"/>
  <c r="S76" i="152" s="1"/>
  <c r="S77" i="152" s="1"/>
  <c r="S78" i="152" s="1"/>
  <c r="S79" i="152" s="1"/>
  <c r="S80" i="152" s="1"/>
  <c r="S81" i="152" s="1"/>
  <c r="S82" i="152" s="1"/>
  <c r="S83" i="152" s="1"/>
  <c r="S84" i="152" s="1"/>
  <c r="S85" i="152" s="1"/>
  <c r="S86" i="152" s="1"/>
  <c r="S87" i="152" s="1"/>
  <c r="E707" i="56" l="1"/>
  <c r="D1" i="64"/>
  <c r="E1" i="64" s="1"/>
  <c r="F1" i="64" s="1"/>
  <c r="G1" i="64" s="1"/>
  <c r="H1" i="64" s="1"/>
  <c r="I1" i="64" s="1"/>
  <c r="J1" i="64" s="1"/>
  <c r="K1" i="64" s="1"/>
  <c r="L1" i="64" s="1"/>
  <c r="M1" i="64" s="1"/>
  <c r="N1" i="64" s="1"/>
  <c r="B2" i="64"/>
  <c r="E641" i="56"/>
  <c r="I641" i="56" s="1"/>
  <c r="E654" i="56"/>
  <c r="E666" i="56"/>
  <c r="D1" i="134"/>
  <c r="B2" i="134"/>
  <c r="E34" i="145"/>
  <c r="G34" i="145" s="1"/>
  <c r="J34" i="145" s="1"/>
  <c r="N93" i="139"/>
  <c r="I689" i="56" s="1"/>
  <c r="T76" i="139"/>
  <c r="T77" i="139" s="1"/>
  <c r="T78" i="139" s="1"/>
  <c r="T79" i="139" s="1"/>
  <c r="T80" i="139" s="1"/>
  <c r="T81" i="139" s="1"/>
  <c r="T82" i="139" s="1"/>
  <c r="T83" i="139" s="1"/>
  <c r="T84" i="139" s="1"/>
  <c r="T85" i="139" s="1"/>
  <c r="T86" i="139" s="1"/>
  <c r="T87" i="139" s="1"/>
  <c r="T88" i="139" s="1"/>
  <c r="I59" i="139"/>
  <c r="I60" i="139" s="1"/>
  <c r="I61" i="139" s="1"/>
  <c r="I62" i="139" s="1"/>
  <c r="I63" i="139" s="1"/>
  <c r="I64" i="139" s="1"/>
  <c r="I65" i="139" s="1"/>
  <c r="I66" i="139" s="1"/>
  <c r="I67" i="139" s="1"/>
  <c r="I68" i="139" s="1"/>
  <c r="I69" i="139" s="1"/>
  <c r="I70" i="139" s="1"/>
  <c r="I71" i="139" s="1"/>
  <c r="R42" i="139"/>
  <c r="R43" i="139" s="1"/>
  <c r="R44" i="139" s="1"/>
  <c r="R45" i="139" s="1"/>
  <c r="R46" i="139" s="1"/>
  <c r="R47" i="139" s="1"/>
  <c r="R48" i="139" s="1"/>
  <c r="R49" i="139" s="1"/>
  <c r="R50" i="139" s="1"/>
  <c r="R51" i="139" s="1"/>
  <c r="R52" i="139" s="1"/>
  <c r="R53" i="139" s="1"/>
  <c r="R54" i="139" s="1"/>
  <c r="K25" i="139"/>
  <c r="K26" i="139" s="1"/>
  <c r="K27" i="139" s="1"/>
  <c r="K28" i="139" s="1"/>
  <c r="K29" i="139" s="1"/>
  <c r="K30" i="139" s="1"/>
  <c r="K31" i="139" s="1"/>
  <c r="K32" i="139" s="1"/>
  <c r="K33" i="139" s="1"/>
  <c r="K34" i="139" s="1"/>
  <c r="K35" i="139" s="1"/>
  <c r="K36" i="139" s="1"/>
  <c r="K37" i="139" s="1"/>
  <c r="N8" i="139"/>
  <c r="N9" i="139" s="1"/>
  <c r="N10" i="139" s="1"/>
  <c r="N11" i="139" s="1"/>
  <c r="N12" i="139" s="1"/>
  <c r="N13" i="139" s="1"/>
  <c r="N14" i="139" s="1"/>
  <c r="N15" i="139" s="1"/>
  <c r="N16" i="139" s="1"/>
  <c r="N17" i="139" s="1"/>
  <c r="N18" i="139" s="1"/>
  <c r="N19" i="139" s="1"/>
  <c r="N20" i="139" s="1"/>
  <c r="E22" i="56"/>
  <c r="E21" i="56"/>
  <c r="D1" i="18"/>
  <c r="E1" i="18" s="1"/>
  <c r="F1" i="18" s="1"/>
  <c r="G1" i="18" s="1"/>
  <c r="H1" i="18" s="1"/>
  <c r="B2" i="18"/>
  <c r="C10" i="147"/>
  <c r="G10" i="147" s="1"/>
  <c r="E756" i="56"/>
  <c r="M153" i="152"/>
  <c r="M154" i="152" s="1"/>
  <c r="M155" i="152" s="1"/>
  <c r="M156" i="152" s="1"/>
  <c r="M157" i="152" s="1"/>
  <c r="M158" i="152" s="1"/>
  <c r="M159" i="152" s="1"/>
  <c r="M160" i="152" s="1"/>
  <c r="M161" i="152" s="1"/>
  <c r="M162" i="152" s="1"/>
  <c r="M163" i="152" s="1"/>
  <c r="M164" i="152" s="1"/>
  <c r="M165" i="152" s="1"/>
  <c r="R25" i="140" l="1"/>
  <c r="S25" i="140"/>
  <c r="Q25" i="140"/>
  <c r="I89" i="152"/>
  <c r="I148" i="152"/>
  <c r="I31" i="152"/>
  <c r="I119" i="152"/>
  <c r="I60" i="152"/>
  <c r="I61" i="152" s="1"/>
  <c r="I167" i="152"/>
  <c r="J109" i="65"/>
  <c r="C9" i="147"/>
  <c r="G9" i="147" s="1"/>
  <c r="C8" i="147"/>
  <c r="G8" i="147" s="1"/>
  <c r="C7" i="147"/>
  <c r="G7" i="147" s="1"/>
  <c r="C73" i="147"/>
  <c r="C72" i="147"/>
  <c r="C46" i="147"/>
  <c r="C47" i="147"/>
  <c r="N94" i="139"/>
  <c r="N95" i="139" s="1"/>
  <c r="N96" i="139" s="1"/>
  <c r="N97" i="139" s="1"/>
  <c r="N98" i="139" s="1"/>
  <c r="N99" i="139" s="1"/>
  <c r="N100" i="139" s="1"/>
  <c r="N101" i="139" s="1"/>
  <c r="N102" i="139" s="1"/>
  <c r="N103" i="139" s="1"/>
  <c r="N104" i="139" s="1"/>
  <c r="N105" i="139" s="1"/>
  <c r="E649" i="56"/>
  <c r="I649" i="56" s="1"/>
  <c r="E651" i="56"/>
  <c r="I651" i="56" s="1"/>
  <c r="E650" i="56"/>
  <c r="I650" i="56" s="1"/>
  <c r="E652" i="56"/>
  <c r="I652" i="56" s="1"/>
  <c r="C76" i="147"/>
  <c r="C75" i="147"/>
  <c r="C74" i="147"/>
  <c r="I1" i="18"/>
  <c r="J1" i="18" s="1"/>
  <c r="K1" i="18" s="1"/>
  <c r="L1" i="18" s="1"/>
  <c r="M1" i="18" s="1"/>
  <c r="N1" i="18" s="1"/>
  <c r="O1" i="18" s="1"/>
  <c r="P1" i="18" s="1"/>
  <c r="Q1" i="18" s="1"/>
  <c r="R1" i="18" s="1"/>
  <c r="S1" i="18" s="1"/>
  <c r="E1" i="134"/>
  <c r="F1" i="134" s="1"/>
  <c r="G1" i="134" s="1"/>
  <c r="H1" i="134" s="1"/>
  <c r="I1" i="134" s="1"/>
  <c r="J1" i="134" s="1"/>
  <c r="K1" i="134" s="1"/>
  <c r="P25" i="140"/>
  <c r="E660" i="56"/>
  <c r="E664" i="56"/>
  <c r="E659" i="56"/>
  <c r="E658" i="56"/>
  <c r="I658" i="56" s="1"/>
  <c r="E657" i="56"/>
  <c r="I657" i="56" s="1"/>
  <c r="E656" i="56"/>
  <c r="E668" i="56"/>
  <c r="I668" i="56" s="1"/>
  <c r="E60" i="56"/>
  <c r="E59" i="56"/>
  <c r="E648" i="56"/>
  <c r="E647" i="56"/>
  <c r="E665" i="56"/>
  <c r="E646" i="56"/>
  <c r="E645" i="56"/>
  <c r="E642" i="56"/>
  <c r="E663" i="56"/>
  <c r="E655" i="56"/>
  <c r="E644" i="56"/>
  <c r="E662" i="56"/>
  <c r="I662" i="56" s="1"/>
  <c r="E643" i="56"/>
  <c r="E653" i="56"/>
  <c r="E661" i="56"/>
  <c r="I661" i="56" s="1"/>
  <c r="E20" i="56"/>
  <c r="E667" i="56"/>
  <c r="I683" i="56"/>
  <c r="I654" i="56"/>
  <c r="I666" i="56"/>
  <c r="E427" i="56"/>
  <c r="E428" i="56"/>
  <c r="E429" i="56"/>
  <c r="Q29" i="140" l="1"/>
  <c r="Q27" i="140"/>
  <c r="Q35" i="140"/>
  <c r="Q33" i="140"/>
  <c r="Q28" i="140"/>
  <c r="Q36" i="140"/>
  <c r="Q30" i="140"/>
  <c r="Q31" i="140"/>
  <c r="Q32" i="140"/>
  <c r="Q34" i="140"/>
  <c r="P32" i="140"/>
  <c r="P30" i="140"/>
  <c r="P33" i="140"/>
  <c r="P28" i="140"/>
  <c r="P36" i="140"/>
  <c r="P34" i="140"/>
  <c r="P27" i="140"/>
  <c r="P35" i="140"/>
  <c r="P31" i="140"/>
  <c r="P29" i="140"/>
  <c r="S29" i="140"/>
  <c r="S36" i="140"/>
  <c r="S28" i="140"/>
  <c r="S27" i="140"/>
  <c r="S33" i="140"/>
  <c r="S34" i="140"/>
  <c r="S35" i="140"/>
  <c r="S32" i="140"/>
  <c r="S31" i="140"/>
  <c r="S30" i="140"/>
  <c r="R34" i="140"/>
  <c r="R32" i="140"/>
  <c r="R27" i="140"/>
  <c r="R35" i="140"/>
  <c r="R30" i="140"/>
  <c r="R33" i="140"/>
  <c r="R28" i="140"/>
  <c r="R36" i="140"/>
  <c r="R29" i="140"/>
  <c r="R31" i="140"/>
  <c r="I656" i="56"/>
  <c r="I664" i="56"/>
  <c r="I660" i="56"/>
  <c r="I688" i="56"/>
  <c r="I684" i="56"/>
  <c r="I687" i="56"/>
  <c r="I685" i="56"/>
  <c r="I686" i="56"/>
  <c r="I659" i="56"/>
  <c r="I647" i="56"/>
  <c r="I644" i="56"/>
  <c r="I653" i="56"/>
  <c r="E58" i="56"/>
  <c r="I648" i="56"/>
  <c r="I655" i="56"/>
  <c r="I645" i="56"/>
  <c r="I665" i="56"/>
  <c r="I642" i="56"/>
  <c r="I643" i="56"/>
  <c r="I663" i="56"/>
  <c r="I646" i="56"/>
  <c r="I667" i="56"/>
  <c r="S38" i="140" l="1"/>
  <c r="Q38" i="140"/>
  <c r="R38" i="140"/>
  <c r="P38" i="140"/>
  <c r="D1" i="4"/>
  <c r="C2" i="139"/>
  <c r="AZ50" i="4" l="1"/>
  <c r="AL50" i="4"/>
  <c r="Z11" i="149"/>
  <c r="Z19" i="149"/>
  <c r="Z27" i="149"/>
  <c r="Z35" i="149"/>
  <c r="Z10" i="149"/>
  <c r="Z12" i="149"/>
  <c r="Z20" i="149"/>
  <c r="Z28" i="149"/>
  <c r="Z36" i="149"/>
  <c r="Z13" i="149"/>
  <c r="Z21" i="149"/>
  <c r="Z29" i="149"/>
  <c r="Z37" i="149"/>
  <c r="Z24" i="149"/>
  <c r="Z14" i="149"/>
  <c r="Z22" i="149"/>
  <c r="Z30" i="149"/>
  <c r="Z38" i="149"/>
  <c r="Z15" i="149"/>
  <c r="Z23" i="149"/>
  <c r="Z31" i="149"/>
  <c r="Z39" i="149"/>
  <c r="Z16" i="149"/>
  <c r="Z17" i="149"/>
  <c r="Z25" i="149"/>
  <c r="Z33" i="149"/>
  <c r="Z18" i="149"/>
  <c r="Z26" i="149"/>
  <c r="Z34" i="149"/>
  <c r="Z32" i="149"/>
  <c r="AW21" i="149"/>
  <c r="T26" i="140"/>
  <c r="T27" i="140" s="1"/>
  <c r="T28" i="140" s="1"/>
  <c r="T29" i="140" s="1"/>
  <c r="T30" i="140" s="1"/>
  <c r="T31" i="140" s="1"/>
  <c r="T32" i="140" s="1"/>
  <c r="T33" i="140" s="1"/>
  <c r="T34" i="140" s="1"/>
  <c r="T35" i="140" s="1"/>
  <c r="T36" i="140" s="1"/>
  <c r="T37" i="140" s="1"/>
  <c r="T38" i="140" s="1"/>
  <c r="D18" i="58"/>
  <c r="D19" i="58"/>
  <c r="D20" i="58"/>
  <c r="J25" i="140"/>
  <c r="J28" i="140" l="1"/>
  <c r="J30" i="140"/>
  <c r="J33" i="140"/>
  <c r="J35" i="140"/>
  <c r="J27" i="140"/>
  <c r="J31" i="140"/>
  <c r="J34" i="140"/>
  <c r="J29" i="140"/>
  <c r="L25" i="140"/>
  <c r="L27" i="140" s="1"/>
  <c r="K25" i="140"/>
  <c r="K29" i="140" s="1"/>
  <c r="O25" i="140"/>
  <c r="O28" i="140" s="1"/>
  <c r="M25" i="140"/>
  <c r="M34" i="140" s="1"/>
  <c r="N25" i="140"/>
  <c r="N27" i="140" s="1"/>
  <c r="J36" i="140"/>
  <c r="J32" i="140"/>
  <c r="F114" i="147" l="1"/>
  <c r="F115" i="147"/>
  <c r="F113" i="147"/>
  <c r="G703" i="56"/>
  <c r="K114" i="147"/>
  <c r="G704" i="56"/>
  <c r="G705" i="56"/>
  <c r="K115" i="147"/>
  <c r="G706" i="56"/>
  <c r="K113" i="147"/>
  <c r="L113" i="147" s="1"/>
  <c r="N34" i="140"/>
  <c r="M30" i="140"/>
  <c r="K33" i="140"/>
  <c r="K28" i="140"/>
  <c r="K34" i="140"/>
  <c r="K32" i="140"/>
  <c r="M35" i="140"/>
  <c r="O33" i="140"/>
  <c r="O34" i="140"/>
  <c r="O31" i="140"/>
  <c r="M27" i="140"/>
  <c r="M29" i="140"/>
  <c r="O36" i="140"/>
  <c r="J38" i="140"/>
  <c r="F107" i="147" s="1"/>
  <c r="K36" i="140"/>
  <c r="L30" i="140"/>
  <c r="L28" i="140"/>
  <c r="L31" i="140"/>
  <c r="L35" i="140"/>
  <c r="L32" i="140"/>
  <c r="L36" i="140"/>
  <c r="O35" i="140"/>
  <c r="L34" i="140"/>
  <c r="O29" i="140"/>
  <c r="O27" i="140"/>
  <c r="N30" i="140"/>
  <c r="N36" i="140"/>
  <c r="N33" i="140"/>
  <c r="N31" i="140"/>
  <c r="N28" i="140"/>
  <c r="N32" i="140"/>
  <c r="N29" i="140"/>
  <c r="N35" i="140"/>
  <c r="L29" i="140"/>
  <c r="O30" i="140"/>
  <c r="M31" i="140"/>
  <c r="M36" i="140"/>
  <c r="M28" i="140"/>
  <c r="M32" i="140"/>
  <c r="O32" i="140"/>
  <c r="L33" i="140"/>
  <c r="M33" i="140"/>
  <c r="K30" i="140"/>
  <c r="K27" i="140"/>
  <c r="K35" i="140"/>
  <c r="K31" i="140"/>
  <c r="G722" i="56" l="1"/>
  <c r="L722" i="56" s="1"/>
  <c r="B722" i="56" s="1"/>
  <c r="L115" i="147"/>
  <c r="G721" i="56" s="1"/>
  <c r="L721" i="56" s="1"/>
  <c r="B721" i="56" s="1"/>
  <c r="G720" i="56"/>
  <c r="L720" i="56" s="1"/>
  <c r="B720" i="56" s="1"/>
  <c r="L114" i="147"/>
  <c r="G719" i="56" s="1"/>
  <c r="L719" i="56" s="1"/>
  <c r="B719" i="56" s="1"/>
  <c r="K107" i="147"/>
  <c r="G697" i="56"/>
  <c r="K38" i="140"/>
  <c r="F108" i="147" s="1"/>
  <c r="O38" i="140"/>
  <c r="F112" i="147" s="1"/>
  <c r="L38" i="140"/>
  <c r="F109" i="147" s="1"/>
  <c r="M38" i="140"/>
  <c r="F110" i="147" s="1"/>
  <c r="N38" i="140"/>
  <c r="F111" i="147" s="1"/>
  <c r="E20" i="140"/>
  <c r="G694" i="56" s="1"/>
  <c r="F20" i="140"/>
  <c r="G695" i="56" s="1"/>
  <c r="K10" i="140"/>
  <c r="K11" i="140"/>
  <c r="K12" i="140"/>
  <c r="K13" i="140"/>
  <c r="K14" i="140"/>
  <c r="K15" i="140"/>
  <c r="K16" i="140"/>
  <c r="K17" i="140"/>
  <c r="K18" i="140"/>
  <c r="G712" i="56" l="1"/>
  <c r="L712" i="56" s="1"/>
  <c r="B712" i="56" s="1"/>
  <c r="L107" i="147"/>
  <c r="G711" i="56" s="1"/>
  <c r="L711" i="56" s="1"/>
  <c r="B711" i="56" s="1"/>
  <c r="K108" i="147"/>
  <c r="G698" i="56"/>
  <c r="G701" i="56"/>
  <c r="K111" i="147"/>
  <c r="L111" i="147" s="1"/>
  <c r="G700" i="56"/>
  <c r="K110" i="147"/>
  <c r="G699" i="56"/>
  <c r="K109" i="147"/>
  <c r="L109" i="147" s="1"/>
  <c r="G702" i="56"/>
  <c r="K112" i="147"/>
  <c r="L112" i="147" s="1"/>
  <c r="G715" i="56" s="1"/>
  <c r="L715" i="56" s="1"/>
  <c r="B715" i="56" s="1"/>
  <c r="D14" i="58"/>
  <c r="C2" i="140"/>
  <c r="G710" i="56" l="1"/>
  <c r="L710" i="56" s="1"/>
  <c r="B710" i="56" s="1"/>
  <c r="L110" i="147"/>
  <c r="G709" i="56" s="1"/>
  <c r="L709" i="56" s="1"/>
  <c r="B709" i="56" s="1"/>
  <c r="G714" i="56"/>
  <c r="L714" i="56" s="1"/>
  <c r="B714" i="56" s="1"/>
  <c r="L108" i="147"/>
  <c r="G713" i="56" s="1"/>
  <c r="L713" i="56" s="1"/>
  <c r="B713" i="56" s="1"/>
  <c r="G716" i="56"/>
  <c r="L716" i="56" s="1"/>
  <c r="B716" i="56" s="1"/>
  <c r="G718" i="56"/>
  <c r="G717" i="56"/>
  <c r="L717" i="56" s="1"/>
  <c r="B717" i="56" s="1"/>
  <c r="BI8" i="141"/>
  <c r="BI9" i="141" s="1"/>
  <c r="BI10" i="141" s="1"/>
  <c r="BI11" i="141" s="1"/>
  <c r="BI12" i="141" s="1"/>
  <c r="BI13" i="141" s="1"/>
  <c r="BI14" i="141" s="1"/>
  <c r="BI15" i="141" s="1"/>
  <c r="BI16" i="141" s="1"/>
  <c r="BI17" i="141" s="1"/>
  <c r="BI18" i="141" s="1"/>
  <c r="BI19" i="141" s="1"/>
  <c r="BI20" i="141" s="1"/>
  <c r="BI21" i="141" s="1"/>
  <c r="BI22" i="141" s="1"/>
  <c r="BI23" i="141" s="1"/>
  <c r="BI24" i="141" s="1"/>
  <c r="BI25" i="141" s="1"/>
  <c r="BI26" i="141" s="1"/>
  <c r="BI27" i="141" s="1"/>
  <c r="BI28" i="141" s="1"/>
  <c r="BI29" i="141" s="1"/>
  <c r="BI30" i="141" s="1"/>
  <c r="BI31" i="141" s="1"/>
  <c r="BI32" i="141" s="1"/>
  <c r="BI33" i="141" s="1"/>
  <c r="BI34" i="141" s="1"/>
  <c r="BI35" i="141" s="1"/>
  <c r="BI36" i="141" s="1"/>
  <c r="BI37" i="141" s="1"/>
  <c r="BI38" i="141" s="1"/>
  <c r="BI39" i="141" s="1"/>
  <c r="BI40" i="141" s="1"/>
  <c r="BI41" i="141" s="1"/>
  <c r="BI42" i="141" s="1"/>
  <c r="BI43" i="141" s="1"/>
  <c r="BI44" i="141" s="1"/>
  <c r="BI45" i="141" s="1"/>
  <c r="BI46" i="141" s="1"/>
  <c r="BI47" i="141" s="1"/>
  <c r="BI48" i="141" s="1"/>
  <c r="BI49" i="141" s="1"/>
  <c r="BI50" i="141" s="1"/>
  <c r="BI51" i="141" s="1"/>
  <c r="BI52" i="141" s="1"/>
  <c r="BI53" i="141" s="1"/>
  <c r="BI54" i="141" s="1"/>
  <c r="BI55" i="141" s="1"/>
  <c r="BI56" i="141" s="1"/>
  <c r="BI57" i="141" s="1"/>
  <c r="BI58" i="141" s="1"/>
  <c r="BI59" i="141" s="1"/>
  <c r="BI60" i="141" s="1"/>
  <c r="BI61" i="141" s="1"/>
  <c r="BI62" i="141" s="1"/>
  <c r="BI63" i="141" s="1"/>
  <c r="BI64" i="141" s="1"/>
  <c r="BI65" i="141" s="1"/>
  <c r="BI66" i="141" s="1"/>
  <c r="BI67" i="141" s="1"/>
  <c r="BI68" i="141" s="1"/>
  <c r="BI69" i="141" s="1"/>
  <c r="BI70" i="141" s="1"/>
  <c r="BI71" i="141" s="1"/>
  <c r="BI72" i="141" s="1"/>
  <c r="L718" i="56" l="1"/>
  <c r="B718" i="56" s="1"/>
  <c r="A8" i="153"/>
  <c r="A9" i="153" s="1"/>
  <c r="A10" i="153" s="1"/>
  <c r="A11" i="153" s="1"/>
  <c r="A12" i="153" s="1"/>
  <c r="A13" i="153" s="1"/>
  <c r="A14" i="153" s="1"/>
  <c r="A15" i="153" s="1"/>
  <c r="A16" i="153" s="1"/>
  <c r="A17" i="153" s="1"/>
  <c r="A18" i="153" s="1"/>
  <c r="A19" i="153" s="1"/>
  <c r="A20" i="153" s="1"/>
  <c r="A21" i="153" s="1"/>
  <c r="A22" i="153" s="1"/>
  <c r="A23" i="153" s="1"/>
  <c r="A24" i="153" s="1"/>
  <c r="A25" i="153" s="1"/>
  <c r="A26" i="153" s="1"/>
  <c r="A27" i="153" s="1"/>
  <c r="A28" i="153" s="1"/>
  <c r="A29" i="153" s="1"/>
  <c r="A30" i="153" s="1"/>
  <c r="A31" i="153" s="1"/>
  <c r="A32" i="153" s="1"/>
  <c r="A33" i="153" s="1"/>
  <c r="A34" i="153" s="1"/>
  <c r="A35" i="153" s="1"/>
  <c r="A36" i="153" s="1"/>
  <c r="A37" i="153" s="1"/>
  <c r="A38" i="153" s="1"/>
  <c r="A39" i="153" s="1"/>
  <c r="A40" i="153" s="1"/>
  <c r="A41" i="153" s="1"/>
  <c r="A42" i="153" s="1"/>
  <c r="A43" i="153" s="1"/>
  <c r="A44" i="153" s="1"/>
  <c r="A45" i="153" s="1"/>
  <c r="A46" i="153" s="1"/>
  <c r="A47" i="153" s="1"/>
  <c r="A48" i="153" s="1"/>
  <c r="B2" i="153"/>
  <c r="I165" i="152"/>
  <c r="I168" i="152" s="1"/>
  <c r="H165" i="152"/>
  <c r="G165" i="152"/>
  <c r="F165" i="152"/>
  <c r="B155" i="152"/>
  <c r="B156" i="152" s="1"/>
  <c r="B157" i="152" s="1"/>
  <c r="B158" i="152" s="1"/>
  <c r="B159" i="152" s="1"/>
  <c r="B160" i="152" s="1"/>
  <c r="B161" i="152" s="1"/>
  <c r="B162" i="152" s="1"/>
  <c r="B163" i="152" s="1"/>
  <c r="K59" i="77"/>
  <c r="L59" i="77"/>
  <c r="M59" i="77"/>
  <c r="N59" i="77"/>
  <c r="K60" i="77"/>
  <c r="L60" i="77"/>
  <c r="M60" i="77"/>
  <c r="N60" i="77"/>
  <c r="F60" i="77"/>
  <c r="G60" i="77"/>
  <c r="H60" i="77"/>
  <c r="I60" i="77"/>
  <c r="J60" i="77"/>
  <c r="E60" i="77"/>
  <c r="F59" i="77"/>
  <c r="G59" i="77"/>
  <c r="H59" i="77"/>
  <c r="I59" i="77"/>
  <c r="J59" i="77"/>
  <c r="E59" i="77"/>
  <c r="A49" i="153" l="1"/>
  <c r="A50" i="153" s="1"/>
  <c r="A51" i="153" s="1"/>
  <c r="A52" i="153" s="1"/>
  <c r="A53" i="153" s="1"/>
  <c r="A54" i="153" s="1"/>
  <c r="A55" i="153" s="1"/>
  <c r="A56" i="153" s="1"/>
  <c r="A57" i="153" s="1"/>
  <c r="A58" i="153" s="1"/>
  <c r="A59" i="153" s="1"/>
  <c r="A60" i="153" s="1"/>
  <c r="A61" i="153" s="1"/>
  <c r="A62" i="153" s="1"/>
  <c r="A63" i="153" s="1"/>
  <c r="A64" i="153" s="1"/>
  <c r="A65" i="153" s="1"/>
  <c r="A66" i="153" s="1"/>
  <c r="A67" i="153" s="1"/>
  <c r="A68" i="153" s="1"/>
  <c r="A69" i="153" s="1"/>
  <c r="A70" i="153" s="1"/>
  <c r="A71" i="153" s="1"/>
  <c r="A72" i="153" s="1"/>
  <c r="A73" i="153" s="1"/>
  <c r="A74" i="153" s="1"/>
  <c r="A75" i="153" s="1"/>
  <c r="A76" i="153" s="1"/>
  <c r="A77" i="153" s="1"/>
  <c r="B52" i="153"/>
  <c r="B51" i="77"/>
  <c r="A8" i="77"/>
  <c r="A9" i="77" s="1"/>
  <c r="A10" i="77" s="1"/>
  <c r="A11" i="77" s="1"/>
  <c r="A12" i="77" s="1"/>
  <c r="A13" i="77" s="1"/>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B2" i="77"/>
  <c r="R123" i="152"/>
  <c r="R124" i="152" s="1"/>
  <c r="R125" i="152" s="1"/>
  <c r="R126" i="152" s="1"/>
  <c r="R127" i="152" s="1"/>
  <c r="R128" i="152" s="1"/>
  <c r="R129" i="152" s="1"/>
  <c r="R130" i="152" s="1"/>
  <c r="R131" i="152" s="1"/>
  <c r="R132" i="152" s="1"/>
  <c r="R133" i="152" s="1"/>
  <c r="R134" i="152" s="1"/>
  <c r="R135" i="152" s="1"/>
  <c r="R136" i="152" s="1"/>
  <c r="R137" i="152" s="1"/>
  <c r="R138" i="152" s="1"/>
  <c r="R139" i="152" s="1"/>
  <c r="R140" i="152" s="1"/>
  <c r="R141" i="152" s="1"/>
  <c r="R142" i="152" s="1"/>
  <c r="R143" i="152" s="1"/>
  <c r="R144" i="152" s="1"/>
  <c r="V7" i="152"/>
  <c r="V8" i="152" s="1"/>
  <c r="V9" i="152" s="1"/>
  <c r="V10" i="152" s="1"/>
  <c r="V11" i="152" s="1"/>
  <c r="V12" i="152" s="1"/>
  <c r="V13" i="152" s="1"/>
  <c r="V14" i="152" s="1"/>
  <c r="V15" i="152" s="1"/>
  <c r="V16" i="152" s="1"/>
  <c r="V17" i="152" s="1"/>
  <c r="V18" i="152" s="1"/>
  <c r="V19" i="152" s="1"/>
  <c r="V20" i="152" s="1"/>
  <c r="V21" i="152" s="1"/>
  <c r="V22" i="152" s="1"/>
  <c r="V23" i="152" s="1"/>
  <c r="V24" i="152" s="1"/>
  <c r="V25" i="152" s="1"/>
  <c r="V26" i="152" s="1"/>
  <c r="V27" i="152" s="1"/>
  <c r="V28" i="152" s="1"/>
  <c r="V29" i="152" s="1"/>
  <c r="N95" i="152"/>
  <c r="N96" i="152" s="1"/>
  <c r="N97" i="152" s="1"/>
  <c r="N98" i="152" s="1"/>
  <c r="N99" i="152" s="1"/>
  <c r="N100" i="152" s="1"/>
  <c r="N101" i="152" s="1"/>
  <c r="N102" i="152" s="1"/>
  <c r="N103" i="152" s="1"/>
  <c r="N104" i="152" s="1"/>
  <c r="N105" i="152" s="1"/>
  <c r="N106" i="152" s="1"/>
  <c r="N107" i="152" s="1"/>
  <c r="N108" i="152" s="1"/>
  <c r="N109" i="152" s="1"/>
  <c r="N110" i="152" s="1"/>
  <c r="N111" i="152" s="1"/>
  <c r="N112" i="152" s="1"/>
  <c r="N113" i="152" s="1"/>
  <c r="N114" i="152" s="1"/>
  <c r="N115" i="152" s="1"/>
  <c r="N116" i="152" s="1"/>
  <c r="N117" i="152" s="1"/>
  <c r="M94" i="152"/>
  <c r="M97" i="152" s="1"/>
  <c r="L94" i="152"/>
  <c r="L100" i="152" s="1"/>
  <c r="K94" i="152"/>
  <c r="K103" i="152" s="1"/>
  <c r="I117" i="152"/>
  <c r="I120" i="152" s="1"/>
  <c r="H117" i="152"/>
  <c r="G117" i="152"/>
  <c r="F117" i="152"/>
  <c r="B97" i="152"/>
  <c r="B98" i="152" s="1"/>
  <c r="B99" i="152" s="1"/>
  <c r="B100" i="152" s="1"/>
  <c r="B101" i="152" s="1"/>
  <c r="B102" i="152" s="1"/>
  <c r="B103" i="152" s="1"/>
  <c r="B104" i="152" s="1"/>
  <c r="B105" i="152" s="1"/>
  <c r="B106" i="152" s="1"/>
  <c r="B107" i="152" s="1"/>
  <c r="B108" i="152" s="1"/>
  <c r="B109" i="152" s="1"/>
  <c r="B110" i="152" s="1"/>
  <c r="B111" i="152" s="1"/>
  <c r="B112" i="152" s="1"/>
  <c r="B113" i="152" s="1"/>
  <c r="B114" i="152" s="1"/>
  <c r="B115" i="152" s="1"/>
  <c r="I146" i="152"/>
  <c r="I149" i="152" s="1"/>
  <c r="H146" i="152"/>
  <c r="G146" i="152"/>
  <c r="F146" i="152"/>
  <c r="B126" i="152"/>
  <c r="B127" i="152" s="1"/>
  <c r="B128" i="152" s="1"/>
  <c r="B129" i="152" s="1"/>
  <c r="B130" i="152" s="1"/>
  <c r="B131" i="152" s="1"/>
  <c r="B132" i="152" s="1"/>
  <c r="B133" i="152" s="1"/>
  <c r="B134" i="152" s="1"/>
  <c r="B135" i="152" s="1"/>
  <c r="B136" i="152" s="1"/>
  <c r="B137" i="152" s="1"/>
  <c r="B138" i="152" s="1"/>
  <c r="B139" i="152" s="1"/>
  <c r="B140" i="152" s="1"/>
  <c r="B141" i="152" s="1"/>
  <c r="B142" i="152" s="1"/>
  <c r="B143" i="152" s="1"/>
  <c r="B144" i="152" s="1"/>
  <c r="I87" i="152"/>
  <c r="I90" i="152" s="1"/>
  <c r="H87" i="152"/>
  <c r="G87" i="152"/>
  <c r="F87" i="152"/>
  <c r="B67" i="152"/>
  <c r="B68" i="152" s="1"/>
  <c r="B69" i="152" s="1"/>
  <c r="B70" i="152" s="1"/>
  <c r="B71" i="152" s="1"/>
  <c r="B72" i="152" s="1"/>
  <c r="B73" i="152" s="1"/>
  <c r="B74" i="152" s="1"/>
  <c r="B75" i="152" s="1"/>
  <c r="B76" i="152" s="1"/>
  <c r="B77" i="152" s="1"/>
  <c r="B78" i="152" s="1"/>
  <c r="B79" i="152" s="1"/>
  <c r="B80" i="152" s="1"/>
  <c r="B81" i="152" s="1"/>
  <c r="B82" i="152" s="1"/>
  <c r="B83" i="152" s="1"/>
  <c r="B84" i="152" s="1"/>
  <c r="B85" i="152" s="1"/>
  <c r="I29" i="152"/>
  <c r="I32" i="152" s="1"/>
  <c r="H29" i="152"/>
  <c r="G29" i="152"/>
  <c r="F29" i="152"/>
  <c r="B9" i="152"/>
  <c r="B10" i="152" s="1"/>
  <c r="B11" i="152" s="1"/>
  <c r="B12" i="152" s="1"/>
  <c r="B13" i="152" s="1"/>
  <c r="B14" i="152" s="1"/>
  <c r="B15" i="152" s="1"/>
  <c r="B16" i="152" s="1"/>
  <c r="B17" i="152" s="1"/>
  <c r="B18" i="152" s="1"/>
  <c r="B19" i="152" s="1"/>
  <c r="B20" i="152" s="1"/>
  <c r="B21" i="152" s="1"/>
  <c r="B22" i="152" s="1"/>
  <c r="B23" i="152" s="1"/>
  <c r="B24" i="152" s="1"/>
  <c r="B25" i="152" s="1"/>
  <c r="B26" i="152" s="1"/>
  <c r="B27" i="152" s="1"/>
  <c r="B2" i="152"/>
  <c r="C2" i="145"/>
  <c r="B2" i="65"/>
  <c r="B2" i="148"/>
  <c r="B2" i="149"/>
  <c r="B2" i="141"/>
  <c r="B2" i="147"/>
  <c r="C1" i="56"/>
  <c r="B3" i="130"/>
  <c r="C2" i="58"/>
  <c r="B2" i="125"/>
  <c r="L41" i="56"/>
  <c r="B41" i="56" s="1"/>
  <c r="L42" i="56"/>
  <c r="B42" i="56" s="1"/>
  <c r="L43" i="56"/>
  <c r="B43" i="56" s="1"/>
  <c r="L44" i="56"/>
  <c r="B44" i="56" s="1"/>
  <c r="L45" i="56"/>
  <c r="B45" i="56" s="1"/>
  <c r="L46" i="56"/>
  <c r="B46" i="56" s="1"/>
  <c r="L47" i="56"/>
  <c r="B47" i="56" s="1"/>
  <c r="A48" i="77" l="1"/>
  <c r="A49" i="77" s="1"/>
  <c r="A50" i="77" s="1"/>
  <c r="R145" i="152"/>
  <c r="R146" i="152" s="1"/>
  <c r="L96" i="152"/>
  <c r="M115" i="152"/>
  <c r="L103" i="152"/>
  <c r="K108" i="152"/>
  <c r="L102" i="152"/>
  <c r="M100" i="152"/>
  <c r="K96" i="152"/>
  <c r="K97" i="152"/>
  <c r="L110" i="152"/>
  <c r="K114" i="152"/>
  <c r="M107" i="152"/>
  <c r="K100" i="152"/>
  <c r="L113" i="152"/>
  <c r="K106" i="152"/>
  <c r="M99" i="152"/>
  <c r="K113" i="152"/>
  <c r="L105" i="152"/>
  <c r="K98" i="152"/>
  <c r="L111" i="152"/>
  <c r="K105" i="152"/>
  <c r="L97" i="152"/>
  <c r="M110" i="152"/>
  <c r="M102" i="152"/>
  <c r="M108" i="152"/>
  <c r="L115" i="152"/>
  <c r="M112" i="152"/>
  <c r="K110" i="152"/>
  <c r="L107" i="152"/>
  <c r="M104" i="152"/>
  <c r="K102" i="152"/>
  <c r="L99" i="152"/>
  <c r="K115" i="152"/>
  <c r="L112" i="152"/>
  <c r="M109" i="152"/>
  <c r="K107" i="152"/>
  <c r="L104" i="152"/>
  <c r="M101" i="152"/>
  <c r="K99" i="152"/>
  <c r="M114" i="152"/>
  <c r="K112" i="152"/>
  <c r="L109" i="152"/>
  <c r="M106" i="152"/>
  <c r="K104" i="152"/>
  <c r="L101" i="152"/>
  <c r="M98" i="152"/>
  <c r="L114" i="152"/>
  <c r="M111" i="152"/>
  <c r="K109" i="152"/>
  <c r="L106" i="152"/>
  <c r="M103" i="152"/>
  <c r="K101" i="152"/>
  <c r="L98" i="152"/>
  <c r="M96" i="152"/>
  <c r="M113" i="152"/>
  <c r="K111" i="152"/>
  <c r="L108" i="152"/>
  <c r="M105" i="152"/>
  <c r="A51" i="77" l="1"/>
  <c r="A52" i="77" s="1"/>
  <c r="A53" i="77" s="1"/>
  <c r="A54" i="77" s="1"/>
  <c r="A55" i="77" s="1"/>
  <c r="A56" i="77" s="1"/>
  <c r="A57" i="77" s="1"/>
  <c r="A58" i="77" s="1"/>
  <c r="A59" i="77" s="1"/>
  <c r="A60" i="77" s="1"/>
  <c r="A61" i="77" s="1"/>
  <c r="A62" i="77" s="1"/>
  <c r="A63" i="77" s="1"/>
  <c r="A64" i="77" s="1"/>
  <c r="A65" i="77" s="1"/>
  <c r="A66" i="77" s="1"/>
  <c r="A67" i="77" s="1"/>
  <c r="A68" i="77" s="1"/>
  <c r="A69" i="77" s="1"/>
  <c r="A70" i="77" s="1"/>
  <c r="A71" i="77" s="1"/>
  <c r="A72" i="77" s="1"/>
  <c r="M117" i="152"/>
  <c r="L117" i="152"/>
  <c r="K117" i="152"/>
  <c r="J117" i="152" l="1"/>
  <c r="E33" i="56" l="1" a="1"/>
  <c r="E33" i="56" s="1"/>
  <c r="DC7" i="154" a="1"/>
  <c r="DC7" i="154" s="1"/>
  <c r="BU7" i="154" a="1"/>
  <c r="BU7" i="154" s="1"/>
  <c r="AM7" i="154" a="1"/>
  <c r="AM7" i="154" s="1"/>
  <c r="H41" i="149" l="1"/>
  <c r="BH39" i="149"/>
  <c r="AE39" i="149"/>
  <c r="U39" i="149"/>
  <c r="R39" i="149"/>
  <c r="S39" i="149" s="1"/>
  <c r="N39" i="149"/>
  <c r="AE38" i="149"/>
  <c r="U38" i="149"/>
  <c r="R38" i="149"/>
  <c r="S38" i="149" s="1"/>
  <c r="N38" i="149"/>
  <c r="BH37" i="149"/>
  <c r="AE37" i="149"/>
  <c r="U37" i="149"/>
  <c r="R37" i="149"/>
  <c r="S37" i="149" s="1"/>
  <c r="N37" i="149"/>
  <c r="BH36" i="149"/>
  <c r="AE36" i="149"/>
  <c r="U36" i="149"/>
  <c r="R36" i="149"/>
  <c r="S36" i="149" s="1"/>
  <c r="N36" i="149"/>
  <c r="BH35" i="149"/>
  <c r="AE35" i="149"/>
  <c r="U35" i="149"/>
  <c r="R35" i="149"/>
  <c r="S35" i="149" s="1"/>
  <c r="N35" i="149"/>
  <c r="BH34" i="149"/>
  <c r="AE34" i="149"/>
  <c r="U34" i="149"/>
  <c r="R34" i="149"/>
  <c r="S34" i="149" s="1"/>
  <c r="N34" i="149"/>
  <c r="BH33" i="149"/>
  <c r="AE33" i="149"/>
  <c r="U33" i="149"/>
  <c r="R33" i="149"/>
  <c r="S33" i="149" s="1"/>
  <c r="N33" i="149"/>
  <c r="BH32" i="149"/>
  <c r="AE32" i="149"/>
  <c r="U32" i="149"/>
  <c r="R32" i="149"/>
  <c r="S32" i="149" s="1"/>
  <c r="N32" i="149"/>
  <c r="BH31" i="149"/>
  <c r="AE31" i="149"/>
  <c r="U31" i="149"/>
  <c r="R31" i="149"/>
  <c r="S31" i="149" s="1"/>
  <c r="N31" i="149"/>
  <c r="BH30" i="149"/>
  <c r="AE30" i="149"/>
  <c r="U30" i="149"/>
  <c r="R30" i="149"/>
  <c r="S30" i="149" s="1"/>
  <c r="W30" i="149" s="1"/>
  <c r="N30" i="149"/>
  <c r="BH29" i="149"/>
  <c r="AE29" i="149"/>
  <c r="U29" i="149"/>
  <c r="R29" i="149"/>
  <c r="S29" i="149" s="1"/>
  <c r="N29" i="149"/>
  <c r="BH28" i="149"/>
  <c r="AE28" i="149"/>
  <c r="U28" i="149"/>
  <c r="R28" i="149"/>
  <c r="S28" i="149" s="1"/>
  <c r="N28" i="149"/>
  <c r="BH27" i="149"/>
  <c r="AE27" i="149"/>
  <c r="U27" i="149"/>
  <c r="R27" i="149"/>
  <c r="S27" i="149" s="1"/>
  <c r="N27" i="149"/>
  <c r="BH26" i="149"/>
  <c r="AE26" i="149"/>
  <c r="U26" i="149"/>
  <c r="R26" i="149"/>
  <c r="S26" i="149" s="1"/>
  <c r="N26" i="149"/>
  <c r="BH25" i="149"/>
  <c r="AE25" i="149"/>
  <c r="U25" i="149"/>
  <c r="R25" i="149"/>
  <c r="S25" i="149" s="1"/>
  <c r="N25" i="149"/>
  <c r="BH24" i="149"/>
  <c r="AE24" i="149"/>
  <c r="U24" i="149"/>
  <c r="R24" i="149"/>
  <c r="S24" i="149" s="1"/>
  <c r="N24" i="149"/>
  <c r="BH23" i="149"/>
  <c r="AE23" i="149"/>
  <c r="U23" i="149"/>
  <c r="R23" i="149"/>
  <c r="S23" i="149" s="1"/>
  <c r="N23" i="149"/>
  <c r="BH22" i="149"/>
  <c r="AE22" i="149"/>
  <c r="U22" i="149"/>
  <c r="R22" i="149"/>
  <c r="S22" i="149" s="1"/>
  <c r="W22" i="149" s="1"/>
  <c r="N22" i="149"/>
  <c r="BH21" i="149"/>
  <c r="AE21" i="149"/>
  <c r="U21" i="149"/>
  <c r="R21" i="149"/>
  <c r="S21" i="149" s="1"/>
  <c r="N21" i="149"/>
  <c r="BH20" i="149"/>
  <c r="AE20" i="149"/>
  <c r="U20" i="149"/>
  <c r="R20" i="149"/>
  <c r="S20" i="149" s="1"/>
  <c r="N20" i="149"/>
  <c r="BH19" i="149"/>
  <c r="AE19" i="149"/>
  <c r="U19" i="149"/>
  <c r="R19" i="149"/>
  <c r="S19" i="149" s="1"/>
  <c r="N19" i="149"/>
  <c r="BH18" i="149"/>
  <c r="AE18" i="149"/>
  <c r="U18" i="149"/>
  <c r="R18" i="149"/>
  <c r="S18" i="149" s="1"/>
  <c r="W18" i="149" s="1"/>
  <c r="N18" i="149"/>
  <c r="BH17" i="149"/>
  <c r="AE17" i="149"/>
  <c r="U17" i="149"/>
  <c r="R17" i="149"/>
  <c r="S17" i="149" s="1"/>
  <c r="N17" i="149"/>
  <c r="BH16" i="149"/>
  <c r="AE16" i="149"/>
  <c r="U16" i="149"/>
  <c r="R16" i="149"/>
  <c r="S16" i="149" s="1"/>
  <c r="N16" i="149"/>
  <c r="BH15" i="149"/>
  <c r="AE15" i="149"/>
  <c r="U15" i="149"/>
  <c r="R15" i="149"/>
  <c r="S15" i="149" s="1"/>
  <c r="N15" i="149"/>
  <c r="BH14" i="149"/>
  <c r="AE14" i="149"/>
  <c r="U14" i="149"/>
  <c r="R14" i="149"/>
  <c r="S14" i="149" s="1"/>
  <c r="N14" i="149"/>
  <c r="BH13" i="149"/>
  <c r="AE13" i="149"/>
  <c r="U13" i="149"/>
  <c r="R13" i="149"/>
  <c r="S13" i="149" s="1"/>
  <c r="N13" i="149"/>
  <c r="BH12" i="149"/>
  <c r="AE12" i="149"/>
  <c r="U12" i="149"/>
  <c r="R12" i="149"/>
  <c r="S12" i="149" s="1"/>
  <c r="N12" i="149"/>
  <c r="AE11" i="149"/>
  <c r="U11" i="149"/>
  <c r="R11" i="149"/>
  <c r="S11" i="149" s="1"/>
  <c r="N11" i="149"/>
  <c r="B11" i="149"/>
  <c r="B12" i="149" s="1"/>
  <c r="B13" i="149" s="1"/>
  <c r="B14" i="149" s="1"/>
  <c r="B15" i="149" s="1"/>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AE10" i="149"/>
  <c r="U10" i="149"/>
  <c r="R10" i="149"/>
  <c r="S10" i="149" s="1"/>
  <c r="N10" i="149"/>
  <c r="W15" i="149" l="1"/>
  <c r="W23" i="149"/>
  <c r="W17" i="149"/>
  <c r="W12" i="149"/>
  <c r="W31" i="149"/>
  <c r="AE41" i="149"/>
  <c r="W13" i="149"/>
  <c r="W24" i="149"/>
  <c r="M41" i="149"/>
  <c r="W28" i="149"/>
  <c r="W16" i="149"/>
  <c r="W38" i="149"/>
  <c r="W32" i="149"/>
  <c r="W14" i="149"/>
  <c r="W33" i="149"/>
  <c r="W29" i="149"/>
  <c r="W20" i="149"/>
  <c r="W36" i="149"/>
  <c r="W21" i="149"/>
  <c r="W25" i="149"/>
  <c r="W26" i="149"/>
  <c r="W11" i="149"/>
  <c r="W10" i="149"/>
  <c r="AD10" i="149"/>
  <c r="AD19" i="149"/>
  <c r="AD39" i="149"/>
  <c r="AD14" i="149"/>
  <c r="AD28" i="149"/>
  <c r="AD37" i="149"/>
  <c r="AD13" i="149"/>
  <c r="AD27" i="149"/>
  <c r="AD20" i="149"/>
  <c r="AD35" i="149"/>
  <c r="AD36" i="149"/>
  <c r="AD22" i="149"/>
  <c r="AD16" i="149"/>
  <c r="AD30" i="149"/>
  <c r="AD11" i="149"/>
  <c r="AD15" i="149"/>
  <c r="AD21" i="149"/>
  <c r="AD29" i="149"/>
  <c r="AD38" i="149"/>
  <c r="AD24" i="149"/>
  <c r="AD32" i="149"/>
  <c r="AD12" i="149"/>
  <c r="AD17" i="149"/>
  <c r="AD25" i="149"/>
  <c r="AD33" i="149"/>
  <c r="W34" i="149"/>
  <c r="AD23" i="149"/>
  <c r="AD31" i="149"/>
  <c r="AD18" i="149"/>
  <c r="W19" i="149"/>
  <c r="AD26" i="149"/>
  <c r="W27" i="149"/>
  <c r="AD34" i="149"/>
  <c r="W35" i="149"/>
  <c r="W37" i="149"/>
  <c r="W39" i="149"/>
  <c r="AD41" i="149" l="1"/>
  <c r="B10" i="141"/>
  <c r="B11" i="141" s="1"/>
  <c r="B12" i="141" s="1"/>
  <c r="B13" i="141" s="1"/>
  <c r="B14" i="141" s="1"/>
  <c r="B15" i="141" s="1"/>
  <c r="B16" i="141" s="1"/>
  <c r="B17" i="141" s="1"/>
  <c r="B18" i="141" s="1"/>
  <c r="B19" i="141" s="1"/>
  <c r="B20" i="141" s="1"/>
  <c r="B21" i="141" s="1"/>
  <c r="B22" i="141" s="1"/>
  <c r="B23" i="141" s="1"/>
  <c r="B24" i="141" s="1"/>
  <c r="B25" i="141" s="1"/>
  <c r="B26" i="141" s="1"/>
  <c r="B27" i="141" s="1"/>
  <c r="B28" i="141" s="1"/>
  <c r="B29" i="141" s="1"/>
  <c r="B30" i="141" s="1"/>
  <c r="B31" i="141" s="1"/>
  <c r="B32" i="141" s="1"/>
  <c r="B33" i="141" s="1"/>
  <c r="B34" i="141" s="1"/>
  <c r="B35" i="141" s="1"/>
  <c r="B36" i="141" s="1"/>
  <c r="B37" i="141" s="1"/>
  <c r="B38" i="141" s="1"/>
  <c r="B39" i="141" s="1"/>
  <c r="B40" i="141" s="1"/>
  <c r="B41" i="141" s="1"/>
  <c r="B42" i="141" s="1"/>
  <c r="B43" i="141" s="1"/>
  <c r="B44" i="141" s="1"/>
  <c r="B45" i="141" s="1"/>
  <c r="B46" i="141" s="1"/>
  <c r="B47" i="141" s="1"/>
  <c r="B48" i="141" s="1"/>
  <c r="B49" i="141" s="1"/>
  <c r="B50" i="141" s="1"/>
  <c r="B51" i="141" s="1"/>
  <c r="B52" i="141" s="1"/>
  <c r="B53" i="141" s="1"/>
  <c r="B54" i="141" s="1"/>
  <c r="B55" i="141" s="1"/>
  <c r="B56" i="141" s="1"/>
  <c r="B57" i="141" s="1"/>
  <c r="B58" i="141" s="1"/>
  <c r="B59" i="141" s="1"/>
  <c r="B60" i="141" s="1"/>
  <c r="B61" i="141" s="1"/>
  <c r="B62" i="141" s="1"/>
  <c r="B63" i="141" s="1"/>
  <c r="B64" i="141" s="1"/>
  <c r="B65" i="141" s="1"/>
  <c r="B66" i="141" s="1"/>
  <c r="B67" i="141" s="1"/>
  <c r="B68" i="141" s="1"/>
  <c r="B69" i="141" s="1"/>
  <c r="B70" i="141" s="1"/>
  <c r="M8" i="148"/>
  <c r="O8" i="148"/>
  <c r="P8" i="148"/>
  <c r="R8" i="148"/>
  <c r="S8" i="148"/>
  <c r="T8" i="148"/>
  <c r="U8" i="148"/>
  <c r="M9" i="148"/>
  <c r="N9" i="148"/>
  <c r="P9" i="148"/>
  <c r="Q9" i="148"/>
  <c r="R9" i="148"/>
  <c r="S9" i="148"/>
  <c r="T9" i="148"/>
  <c r="N10" i="148"/>
  <c r="O10" i="148"/>
  <c r="P10" i="148"/>
  <c r="Q10" i="148"/>
  <c r="R10" i="148"/>
  <c r="S10" i="148"/>
  <c r="T10" i="148"/>
  <c r="U10" i="148"/>
  <c r="M11" i="148"/>
  <c r="N11" i="148"/>
  <c r="O11" i="148"/>
  <c r="Q11" i="148"/>
  <c r="R11" i="148"/>
  <c r="S11" i="148"/>
  <c r="T11" i="148"/>
  <c r="U11" i="148"/>
  <c r="M12" i="148"/>
  <c r="N12" i="148"/>
  <c r="O12" i="148"/>
  <c r="P12" i="148"/>
  <c r="R12" i="148"/>
  <c r="S12" i="148"/>
  <c r="T12" i="148"/>
  <c r="U12" i="148"/>
  <c r="M13" i="148"/>
  <c r="N13" i="148"/>
  <c r="O13" i="148"/>
  <c r="P13" i="148"/>
  <c r="Q13" i="148"/>
  <c r="S13" i="148"/>
  <c r="T13" i="148"/>
  <c r="U13" i="148"/>
  <c r="M14" i="148"/>
  <c r="N14" i="148"/>
  <c r="O14" i="148"/>
  <c r="P14" i="148"/>
  <c r="Q14" i="148"/>
  <c r="R14" i="148"/>
  <c r="T14" i="148"/>
  <c r="U14" i="148"/>
  <c r="M15" i="148"/>
  <c r="N15" i="148"/>
  <c r="O15" i="148"/>
  <c r="P15" i="148"/>
  <c r="Q15" i="148"/>
  <c r="R15" i="148"/>
  <c r="S15" i="148"/>
  <c r="U15" i="148"/>
  <c r="M16" i="148"/>
  <c r="N16" i="148"/>
  <c r="O16" i="148"/>
  <c r="P16" i="148"/>
  <c r="Q16" i="148"/>
  <c r="R16" i="148"/>
  <c r="S16" i="148"/>
  <c r="T16" i="148"/>
  <c r="N17" i="148"/>
  <c r="O17" i="148"/>
  <c r="P17" i="148"/>
  <c r="Q17" i="148"/>
  <c r="R17" i="148"/>
  <c r="S17" i="148"/>
  <c r="T17" i="148"/>
  <c r="U17" i="148"/>
  <c r="N18" i="148"/>
  <c r="O18" i="148"/>
  <c r="P18" i="148"/>
  <c r="Q18" i="148"/>
  <c r="R18" i="148"/>
  <c r="S18" i="148"/>
  <c r="T18" i="148"/>
  <c r="U18" i="148"/>
  <c r="N19" i="148"/>
  <c r="O19" i="148"/>
  <c r="P19" i="148"/>
  <c r="Q19" i="148"/>
  <c r="R19" i="148"/>
  <c r="S19" i="148"/>
  <c r="T19" i="148"/>
  <c r="U19" i="148"/>
  <c r="N20" i="148"/>
  <c r="O20" i="148"/>
  <c r="P20" i="148"/>
  <c r="Q20" i="148"/>
  <c r="R20" i="148"/>
  <c r="S20" i="148"/>
  <c r="T20" i="148"/>
  <c r="U20" i="148"/>
  <c r="N21" i="148"/>
  <c r="O21" i="148"/>
  <c r="P21" i="148"/>
  <c r="Q21" i="148"/>
  <c r="R21" i="148"/>
  <c r="S21" i="148"/>
  <c r="T21" i="148"/>
  <c r="U21" i="148"/>
  <c r="N22" i="148"/>
  <c r="O22" i="148"/>
  <c r="P22" i="148"/>
  <c r="Q22" i="148"/>
  <c r="R22" i="148"/>
  <c r="S22" i="148"/>
  <c r="T22" i="148"/>
  <c r="U22" i="148"/>
  <c r="N23" i="148"/>
  <c r="O23" i="148"/>
  <c r="P23" i="148"/>
  <c r="Q23" i="148"/>
  <c r="R23" i="148"/>
  <c r="S23" i="148"/>
  <c r="T23" i="148"/>
  <c r="U23" i="148"/>
  <c r="N24" i="148"/>
  <c r="O24" i="148"/>
  <c r="P24" i="148"/>
  <c r="Q24" i="148"/>
  <c r="R24" i="148"/>
  <c r="S24" i="148"/>
  <c r="T24" i="148"/>
  <c r="U24" i="148"/>
  <c r="N25" i="148"/>
  <c r="O25" i="148"/>
  <c r="P25" i="148"/>
  <c r="Q25" i="148"/>
  <c r="R25" i="148"/>
  <c r="S25" i="148"/>
  <c r="T25" i="148"/>
  <c r="U25" i="148"/>
  <c r="N26" i="148"/>
  <c r="O26" i="148"/>
  <c r="P26" i="148"/>
  <c r="Q26" i="148"/>
  <c r="R26" i="148"/>
  <c r="S26" i="148"/>
  <c r="T26" i="148"/>
  <c r="U26" i="148"/>
  <c r="N27" i="148"/>
  <c r="O27" i="148"/>
  <c r="P27" i="148"/>
  <c r="Q27" i="148"/>
  <c r="R27" i="148"/>
  <c r="S27" i="148"/>
  <c r="T27" i="148"/>
  <c r="U27" i="148"/>
  <c r="N28" i="148"/>
  <c r="O28" i="148"/>
  <c r="P28" i="148"/>
  <c r="Q28" i="148"/>
  <c r="R28" i="148"/>
  <c r="S28" i="148"/>
  <c r="T28" i="148"/>
  <c r="U28" i="148"/>
  <c r="N29" i="148"/>
  <c r="O29" i="148"/>
  <c r="P29" i="148"/>
  <c r="Q29" i="148"/>
  <c r="R29" i="148"/>
  <c r="S29" i="148"/>
  <c r="T29" i="148"/>
  <c r="U29" i="148"/>
  <c r="N30" i="148"/>
  <c r="O30" i="148"/>
  <c r="P30" i="148"/>
  <c r="Q30" i="148"/>
  <c r="R30" i="148"/>
  <c r="S30" i="148"/>
  <c r="T30" i="148"/>
  <c r="U30" i="148"/>
  <c r="N31" i="148"/>
  <c r="O31" i="148"/>
  <c r="P31" i="148"/>
  <c r="Q31" i="148"/>
  <c r="R31" i="148"/>
  <c r="S31" i="148"/>
  <c r="T31" i="148"/>
  <c r="U31" i="148"/>
  <c r="N32" i="148"/>
  <c r="O32" i="148"/>
  <c r="P32" i="148"/>
  <c r="Q32" i="148"/>
  <c r="R32" i="148"/>
  <c r="S32" i="148"/>
  <c r="T32" i="148"/>
  <c r="U32" i="148"/>
  <c r="N33" i="148"/>
  <c r="O33" i="148"/>
  <c r="P33" i="148"/>
  <c r="Q33" i="148"/>
  <c r="R33" i="148"/>
  <c r="S33" i="148"/>
  <c r="T33" i="148"/>
  <c r="U33" i="148"/>
  <c r="N34" i="148"/>
  <c r="O34" i="148"/>
  <c r="P34" i="148"/>
  <c r="Q34" i="148"/>
  <c r="R34" i="148"/>
  <c r="S34" i="148"/>
  <c r="T34" i="148"/>
  <c r="U34" i="148"/>
  <c r="N35" i="148"/>
  <c r="O35" i="148"/>
  <c r="P35" i="148"/>
  <c r="Q35" i="148"/>
  <c r="R35" i="148"/>
  <c r="S35" i="148"/>
  <c r="T35" i="148"/>
  <c r="U35" i="148"/>
  <c r="N36" i="148"/>
  <c r="O36" i="148"/>
  <c r="P36" i="148"/>
  <c r="Q36" i="148"/>
  <c r="R36" i="148"/>
  <c r="S36" i="148"/>
  <c r="T36" i="148"/>
  <c r="U36" i="148"/>
  <c r="N37" i="148"/>
  <c r="O37" i="148"/>
  <c r="P37" i="148"/>
  <c r="Q37" i="148"/>
  <c r="R37" i="148"/>
  <c r="S37" i="148"/>
  <c r="T37" i="148"/>
  <c r="U37" i="148"/>
  <c r="N38" i="148"/>
  <c r="O38" i="148"/>
  <c r="P38" i="148"/>
  <c r="Q38" i="148"/>
  <c r="R38" i="148"/>
  <c r="S38" i="148"/>
  <c r="T38" i="148"/>
  <c r="U38" i="148"/>
  <c r="N39" i="148"/>
  <c r="O39" i="148"/>
  <c r="P39" i="148"/>
  <c r="Q39" i="148"/>
  <c r="R39" i="148"/>
  <c r="S39" i="148"/>
  <c r="T39" i="148"/>
  <c r="U39" i="148"/>
  <c r="N40" i="148"/>
  <c r="O40" i="148"/>
  <c r="P40" i="148"/>
  <c r="Q40" i="148"/>
  <c r="R40" i="148"/>
  <c r="S40" i="148"/>
  <c r="T40" i="148"/>
  <c r="U40" i="148"/>
  <c r="N41" i="148"/>
  <c r="O41" i="148"/>
  <c r="P41" i="148"/>
  <c r="Q41" i="148"/>
  <c r="R41" i="148"/>
  <c r="S41" i="148"/>
  <c r="T41" i="148"/>
  <c r="U41" i="148"/>
  <c r="N42" i="148"/>
  <c r="O42" i="148"/>
  <c r="P42" i="148"/>
  <c r="Q42" i="148"/>
  <c r="R42" i="148"/>
  <c r="S42" i="148"/>
  <c r="T42" i="148"/>
  <c r="U42" i="148"/>
  <c r="N43" i="148"/>
  <c r="O43" i="148"/>
  <c r="P43" i="148"/>
  <c r="Q43" i="148"/>
  <c r="R43" i="148"/>
  <c r="S43" i="148"/>
  <c r="T43" i="148"/>
  <c r="U43" i="148"/>
  <c r="N44" i="148"/>
  <c r="O44" i="148"/>
  <c r="P44" i="148"/>
  <c r="Q44" i="148"/>
  <c r="R44" i="148"/>
  <c r="S44" i="148"/>
  <c r="T44" i="148"/>
  <c r="U44" i="148"/>
  <c r="N45" i="148"/>
  <c r="O45" i="148"/>
  <c r="P45" i="148"/>
  <c r="Q45" i="148"/>
  <c r="R45" i="148"/>
  <c r="S45" i="148"/>
  <c r="T45" i="148"/>
  <c r="U45" i="148"/>
  <c r="N46" i="148"/>
  <c r="O46" i="148"/>
  <c r="P46" i="148"/>
  <c r="Q46" i="148"/>
  <c r="R46" i="148"/>
  <c r="S46" i="148"/>
  <c r="T46" i="148"/>
  <c r="U46" i="148"/>
  <c r="N47" i="148"/>
  <c r="O47" i="148"/>
  <c r="P47" i="148"/>
  <c r="Q47" i="148"/>
  <c r="R47" i="148"/>
  <c r="S47" i="148"/>
  <c r="T47" i="148"/>
  <c r="U47" i="148"/>
  <c r="N48" i="148"/>
  <c r="O48" i="148"/>
  <c r="P48" i="148"/>
  <c r="Q48" i="148"/>
  <c r="R48" i="148"/>
  <c r="S48" i="148"/>
  <c r="T48" i="148"/>
  <c r="U48" i="148"/>
  <c r="N49" i="148"/>
  <c r="O49" i="148"/>
  <c r="P49" i="148"/>
  <c r="Q49" i="148"/>
  <c r="R49" i="148"/>
  <c r="S49" i="148"/>
  <c r="T49" i="148"/>
  <c r="U49" i="148"/>
  <c r="U7" i="148"/>
  <c r="T7" i="148"/>
  <c r="S7" i="148"/>
  <c r="R7" i="148"/>
  <c r="Q7" i="148"/>
  <c r="P7" i="148"/>
  <c r="O7" i="148"/>
  <c r="N7" i="148"/>
  <c r="H11" i="148"/>
  <c r="J11" i="148" s="1"/>
  <c r="P11" i="148" s="1"/>
  <c r="H12" i="148"/>
  <c r="J12" i="148" s="1"/>
  <c r="Q12" i="148" s="1"/>
  <c r="H13" i="148"/>
  <c r="J13" i="148" s="1"/>
  <c r="R13" i="148" s="1"/>
  <c r="H14" i="148"/>
  <c r="J14" i="148" s="1"/>
  <c r="S14" i="148" s="1"/>
  <c r="H15" i="148"/>
  <c r="J15" i="148" s="1"/>
  <c r="T15" i="148" s="1"/>
  <c r="H16" i="148"/>
  <c r="J16" i="148" s="1"/>
  <c r="U16" i="148" s="1"/>
  <c r="H17" i="148"/>
  <c r="J17" i="148" s="1"/>
  <c r="M17" i="148" s="1"/>
  <c r="H18" i="148"/>
  <c r="J18" i="148" s="1"/>
  <c r="M18" i="148" s="1"/>
  <c r="H19" i="148"/>
  <c r="J19" i="148" s="1"/>
  <c r="M19" i="148" s="1"/>
  <c r="H20" i="148"/>
  <c r="J20" i="148" s="1"/>
  <c r="M20" i="148" s="1"/>
  <c r="H21" i="148"/>
  <c r="J21" i="148" s="1"/>
  <c r="M21" i="148" s="1"/>
  <c r="H22" i="148"/>
  <c r="J22" i="148" s="1"/>
  <c r="M22" i="148" s="1"/>
  <c r="H23" i="148"/>
  <c r="J23" i="148" s="1"/>
  <c r="M23" i="148" s="1"/>
  <c r="H24" i="148"/>
  <c r="J24" i="148" s="1"/>
  <c r="M24" i="148" s="1"/>
  <c r="H25" i="148"/>
  <c r="J25" i="148" s="1"/>
  <c r="M25" i="148" s="1"/>
  <c r="H26" i="148"/>
  <c r="J26" i="148" s="1"/>
  <c r="M26" i="148" s="1"/>
  <c r="H27" i="148"/>
  <c r="J27" i="148" s="1"/>
  <c r="M27" i="148" s="1"/>
  <c r="H28" i="148"/>
  <c r="J28" i="148" s="1"/>
  <c r="M28" i="148" s="1"/>
  <c r="H29" i="148"/>
  <c r="J29" i="148" s="1"/>
  <c r="M29" i="148" s="1"/>
  <c r="H30" i="148"/>
  <c r="J30" i="148" s="1"/>
  <c r="M30" i="148" s="1"/>
  <c r="H31" i="148"/>
  <c r="J31" i="148" s="1"/>
  <c r="M31" i="148" s="1"/>
  <c r="H32" i="148"/>
  <c r="J32" i="148" s="1"/>
  <c r="M32" i="148" s="1"/>
  <c r="H33" i="148"/>
  <c r="J33" i="148" s="1"/>
  <c r="M33" i="148" s="1"/>
  <c r="H34" i="148"/>
  <c r="J34" i="148" s="1"/>
  <c r="M34" i="148" s="1"/>
  <c r="H35" i="148"/>
  <c r="J35" i="148" s="1"/>
  <c r="M35" i="148" s="1"/>
  <c r="H36" i="148"/>
  <c r="J36" i="148" s="1"/>
  <c r="M36" i="148" s="1"/>
  <c r="H37" i="148"/>
  <c r="J37" i="148" s="1"/>
  <c r="M37" i="148" s="1"/>
  <c r="H38" i="148"/>
  <c r="J38" i="148" s="1"/>
  <c r="M38" i="148" s="1"/>
  <c r="H39" i="148"/>
  <c r="J39" i="148" s="1"/>
  <c r="M39" i="148" s="1"/>
  <c r="H40" i="148"/>
  <c r="J40" i="148" s="1"/>
  <c r="M40" i="148" s="1"/>
  <c r="H41" i="148"/>
  <c r="J41" i="148" s="1"/>
  <c r="M41" i="148" s="1"/>
  <c r="H42" i="148"/>
  <c r="J42" i="148" s="1"/>
  <c r="M42" i="148" s="1"/>
  <c r="H43" i="148"/>
  <c r="J43" i="148" s="1"/>
  <c r="M43" i="148" s="1"/>
  <c r="H44" i="148"/>
  <c r="J44" i="148" s="1"/>
  <c r="M44" i="148" s="1"/>
  <c r="H45" i="148"/>
  <c r="J45" i="148" s="1"/>
  <c r="M45" i="148" s="1"/>
  <c r="H46" i="148"/>
  <c r="J46" i="148" s="1"/>
  <c r="M46" i="148" s="1"/>
  <c r="H47" i="148"/>
  <c r="J47" i="148" s="1"/>
  <c r="M47" i="148" s="1"/>
  <c r="H48" i="148"/>
  <c r="J48" i="148" s="1"/>
  <c r="M48" i="148" s="1"/>
  <c r="H49" i="148"/>
  <c r="J49" i="148" s="1"/>
  <c r="M49" i="148" s="1"/>
  <c r="I51" i="148"/>
  <c r="F51" i="148"/>
  <c r="H10" i="148"/>
  <c r="J10" i="148" s="1"/>
  <c r="M10" i="148" s="1"/>
  <c r="H9" i="148"/>
  <c r="J9" i="148" s="1"/>
  <c r="O9" i="148" s="1"/>
  <c r="H8" i="148"/>
  <c r="J8" i="148" s="1"/>
  <c r="N8" i="148" s="1"/>
  <c r="H7" i="148"/>
  <c r="L356" i="56"/>
  <c r="B356" i="56" s="1"/>
  <c r="L357" i="56"/>
  <c r="B357" i="56" s="1"/>
  <c r="L214" i="56"/>
  <c r="B214" i="56" s="1"/>
  <c r="F756" i="56"/>
  <c r="G756" i="56" s="1"/>
  <c r="H756" i="56" s="1"/>
  <c r="U9" i="148" l="1"/>
  <c r="Q8" i="148"/>
  <c r="I43" i="147"/>
  <c r="I40" i="147"/>
  <c r="I41" i="147"/>
  <c r="I45" i="147"/>
  <c r="I39" i="147"/>
  <c r="I44" i="147"/>
  <c r="I38" i="147"/>
  <c r="I37" i="147"/>
  <c r="I42" i="147"/>
  <c r="I46" i="147"/>
  <c r="I47" i="147"/>
  <c r="I66" i="147"/>
  <c r="I70" i="147"/>
  <c r="I63" i="147"/>
  <c r="I55" i="147"/>
  <c r="I52" i="147"/>
  <c r="I29" i="147"/>
  <c r="I24" i="147"/>
  <c r="I31" i="147"/>
  <c r="I68" i="147"/>
  <c r="I94" i="147"/>
  <c r="I91" i="147"/>
  <c r="I28" i="147"/>
  <c r="I54" i="147"/>
  <c r="I32" i="147"/>
  <c r="I99" i="147"/>
  <c r="I79" i="147"/>
  <c r="I58" i="147"/>
  <c r="I78" i="147"/>
  <c r="I27" i="147"/>
  <c r="I60" i="147"/>
  <c r="I65" i="147"/>
  <c r="I16" i="147"/>
  <c r="I97" i="147"/>
  <c r="I23" i="147"/>
  <c r="I30" i="147"/>
  <c r="I93" i="147"/>
  <c r="I75" i="147"/>
  <c r="I95" i="147"/>
  <c r="I7" i="147"/>
  <c r="I81" i="147"/>
  <c r="I13" i="147"/>
  <c r="I34" i="147"/>
  <c r="I64" i="147"/>
  <c r="I8" i="147"/>
  <c r="I15" i="147"/>
  <c r="I89" i="147"/>
  <c r="I22" i="147"/>
  <c r="I82" i="147"/>
  <c r="I98" i="147"/>
  <c r="I87" i="147"/>
  <c r="I25" i="147"/>
  <c r="I74" i="147"/>
  <c r="I61" i="147"/>
  <c r="I9" i="147"/>
  <c r="I83" i="147"/>
  <c r="I71" i="147"/>
  <c r="I72" i="147"/>
  <c r="I26" i="147"/>
  <c r="I92" i="147"/>
  <c r="I35" i="147"/>
  <c r="I51" i="147"/>
  <c r="I56" i="147"/>
  <c r="I48" i="147"/>
  <c r="I21" i="147"/>
  <c r="I14" i="147"/>
  <c r="I88" i="147"/>
  <c r="I90" i="147"/>
  <c r="I10" i="147"/>
  <c r="I12" i="147"/>
  <c r="I36" i="147"/>
  <c r="I67" i="147"/>
  <c r="I18" i="147"/>
  <c r="I33" i="147"/>
  <c r="I77" i="147"/>
  <c r="I62" i="147"/>
  <c r="I59" i="147"/>
  <c r="I50" i="147"/>
  <c r="I85" i="147"/>
  <c r="I57" i="147"/>
  <c r="I86" i="147"/>
  <c r="I101" i="147"/>
  <c r="I73" i="147"/>
  <c r="I49" i="147"/>
  <c r="I96" i="147"/>
  <c r="I84" i="147"/>
  <c r="I20" i="147"/>
  <c r="I80" i="147"/>
  <c r="I11" i="147"/>
  <c r="I53" i="147"/>
  <c r="I17" i="147"/>
  <c r="I69" i="147"/>
  <c r="I19" i="147"/>
  <c r="I100" i="147"/>
  <c r="I76" i="147"/>
  <c r="I756" i="56"/>
  <c r="J756" i="56" s="1"/>
  <c r="U51" i="148"/>
  <c r="T51" i="148"/>
  <c r="S51" i="148"/>
  <c r="P51" i="148"/>
  <c r="Q51" i="148"/>
  <c r="R51" i="148"/>
  <c r="H51" i="148"/>
  <c r="O51" i="148"/>
  <c r="N51" i="148"/>
  <c r="J7" i="148"/>
  <c r="K756" i="56" l="1"/>
  <c r="J51" i="148"/>
  <c r="M7" i="148"/>
  <c r="M51" i="148" s="1"/>
  <c r="L756" i="56" l="1"/>
  <c r="M756" i="56" s="1"/>
  <c r="N756" i="56" s="1"/>
  <c r="O756" i="56" s="1"/>
  <c r="P756" i="56" s="1"/>
  <c r="E151" i="56" l="1" a="1"/>
  <c r="E151" i="56" s="1"/>
  <c r="BY7" i="154" a="1"/>
  <c r="BY7" i="154" s="1"/>
  <c r="AQ7" i="154" a="1"/>
  <c r="I7" i="154" a="1"/>
  <c r="I7" i="154" l="1"/>
  <c r="AE17" i="154"/>
  <c r="AE25" i="154"/>
  <c r="AE33" i="154"/>
  <c r="AE41" i="154"/>
  <c r="M13" i="154"/>
  <c r="M21" i="154"/>
  <c r="M29" i="154"/>
  <c r="M37" i="154"/>
  <c r="L11" i="154"/>
  <c r="L19" i="154"/>
  <c r="L27" i="154"/>
  <c r="L35" i="154"/>
  <c r="L43" i="154"/>
  <c r="M26" i="154"/>
  <c r="L32" i="154"/>
  <c r="M12" i="154"/>
  <c r="L42" i="154"/>
  <c r="AE10" i="154"/>
  <c r="AE18" i="154"/>
  <c r="AE26" i="154"/>
  <c r="AE34" i="154"/>
  <c r="AE42" i="154"/>
  <c r="M14" i="154"/>
  <c r="M22" i="154"/>
  <c r="M30" i="154"/>
  <c r="M38" i="154"/>
  <c r="L12" i="154"/>
  <c r="L20" i="154"/>
  <c r="L28" i="154"/>
  <c r="L36" i="154"/>
  <c r="L9" i="154"/>
  <c r="AE22" i="154"/>
  <c r="M34" i="154"/>
  <c r="L40" i="154"/>
  <c r="AE24" i="154"/>
  <c r="M28" i="154"/>
  <c r="L34" i="154"/>
  <c r="AE11" i="154"/>
  <c r="AE19" i="154"/>
  <c r="AE27" i="154"/>
  <c r="AE35" i="154"/>
  <c r="AE43" i="154"/>
  <c r="M15" i="154"/>
  <c r="M23" i="154"/>
  <c r="M31" i="154"/>
  <c r="M39" i="154"/>
  <c r="L13" i="154"/>
  <c r="L21" i="154"/>
  <c r="L29" i="154"/>
  <c r="L37" i="154"/>
  <c r="AE38" i="154"/>
  <c r="M42" i="154"/>
  <c r="L18" i="154"/>
  <c r="AE12" i="154"/>
  <c r="AE20" i="154"/>
  <c r="AE28" i="154"/>
  <c r="AE36" i="154"/>
  <c r="AE9" i="154"/>
  <c r="M16" i="154"/>
  <c r="M24" i="154"/>
  <c r="M32" i="154"/>
  <c r="M40" i="154"/>
  <c r="L14" i="154"/>
  <c r="L22" i="154"/>
  <c r="L30" i="154"/>
  <c r="L38" i="154"/>
  <c r="M10" i="154"/>
  <c r="L16" i="154"/>
  <c r="M36" i="154"/>
  <c r="AE13" i="154"/>
  <c r="AE21" i="154"/>
  <c r="AE29" i="154"/>
  <c r="AE37" i="154"/>
  <c r="M9" i="154"/>
  <c r="M17" i="154"/>
  <c r="M25" i="154"/>
  <c r="M33" i="154"/>
  <c r="M41" i="154"/>
  <c r="L15" i="154"/>
  <c r="L23" i="154"/>
  <c r="L31" i="154"/>
  <c r="L39" i="154"/>
  <c r="AE14" i="154"/>
  <c r="AE30" i="154"/>
  <c r="M18" i="154"/>
  <c r="L24" i="154"/>
  <c r="L10" i="154"/>
  <c r="AE15" i="154"/>
  <c r="AE23" i="154"/>
  <c r="AE31" i="154"/>
  <c r="AE39" i="154"/>
  <c r="M11" i="154"/>
  <c r="M19" i="154"/>
  <c r="M27" i="154"/>
  <c r="M35" i="154"/>
  <c r="M43" i="154"/>
  <c r="L17" i="154"/>
  <c r="L25" i="154"/>
  <c r="L33" i="154"/>
  <c r="L41" i="154"/>
  <c r="AE16" i="154"/>
  <c r="AE32" i="154"/>
  <c r="AE40" i="154"/>
  <c r="M20" i="154"/>
  <c r="L26" i="154"/>
  <c r="AQ7" i="154"/>
  <c r="AT12" i="154"/>
  <c r="AT16" i="154"/>
  <c r="AT20" i="154"/>
  <c r="AT24" i="154"/>
  <c r="AT28" i="154"/>
  <c r="AT32" i="154"/>
  <c r="AT36" i="154"/>
  <c r="AT40" i="154"/>
  <c r="AT9" i="154"/>
  <c r="AS19" i="154"/>
  <c r="AS43" i="154"/>
  <c r="AS40" i="154"/>
  <c r="AS13" i="154"/>
  <c r="AS17" i="154"/>
  <c r="AS21" i="154"/>
  <c r="AS25" i="154"/>
  <c r="AS29" i="154"/>
  <c r="AS33" i="154"/>
  <c r="AS37" i="154"/>
  <c r="AS41" i="154"/>
  <c r="AS15" i="154"/>
  <c r="AS31" i="154"/>
  <c r="AT13" i="154"/>
  <c r="AT17" i="154"/>
  <c r="AT21" i="154"/>
  <c r="AT25" i="154"/>
  <c r="AT29" i="154"/>
  <c r="AT33" i="154"/>
  <c r="AT37" i="154"/>
  <c r="AT41" i="154"/>
  <c r="AS11" i="154"/>
  <c r="AS35" i="154"/>
  <c r="AS32" i="154"/>
  <c r="AS10" i="154"/>
  <c r="AS14" i="154"/>
  <c r="AS18" i="154"/>
  <c r="AS22" i="154"/>
  <c r="AS26" i="154"/>
  <c r="AS30" i="154"/>
  <c r="AS34" i="154"/>
  <c r="AS38" i="154"/>
  <c r="AS42" i="154"/>
  <c r="AS27" i="154"/>
  <c r="AS39" i="154"/>
  <c r="AS36" i="154"/>
  <c r="AT10" i="154"/>
  <c r="AT14" i="154"/>
  <c r="AT18" i="154"/>
  <c r="AT22" i="154"/>
  <c r="AT26" i="154"/>
  <c r="AT30" i="154"/>
  <c r="AT34" i="154"/>
  <c r="AT38" i="154"/>
  <c r="AT42" i="154"/>
  <c r="AS23" i="154"/>
  <c r="AS9" i="154"/>
  <c r="AT11" i="154"/>
  <c r="AT15" i="154"/>
  <c r="AT19" i="154"/>
  <c r="AT23" i="154"/>
  <c r="AT27" i="154"/>
  <c r="AT31" i="154"/>
  <c r="AT35" i="154"/>
  <c r="AT39" i="154"/>
  <c r="AT43" i="154"/>
  <c r="AS12" i="154"/>
  <c r="AS16" i="154"/>
  <c r="AS20" i="154"/>
  <c r="AS24" i="154"/>
  <c r="AS28" i="154"/>
  <c r="L4" i="154" l="1"/>
  <c r="AT4" i="154"/>
  <c r="AS4" i="154"/>
  <c r="M4" i="154"/>
  <c r="Q10" i="154"/>
  <c r="Y10" i="154"/>
  <c r="AG10" i="154"/>
  <c r="AO10" i="154"/>
  <c r="R11" i="154"/>
  <c r="Z11" i="154"/>
  <c r="AH11" i="154"/>
  <c r="S12" i="154"/>
  <c r="AA12" i="154"/>
  <c r="AI12" i="154"/>
  <c r="J13" i="154"/>
  <c r="T13" i="154"/>
  <c r="AB13" i="154"/>
  <c r="AJ13" i="154"/>
  <c r="K14" i="154"/>
  <c r="U14" i="154"/>
  <c r="AC14" i="154"/>
  <c r="AK14" i="154"/>
  <c r="N15" i="154"/>
  <c r="V15" i="154"/>
  <c r="AD15" i="154"/>
  <c r="AL15" i="154"/>
  <c r="O16" i="154"/>
  <c r="W16" i="154"/>
  <c r="AM16" i="154"/>
  <c r="P17" i="154"/>
  <c r="X17" i="154"/>
  <c r="AF17" i="154"/>
  <c r="AN17" i="154"/>
  <c r="Q18" i="154"/>
  <c r="Y18" i="154"/>
  <c r="AG18" i="154"/>
  <c r="AO18" i="154"/>
  <c r="R19" i="154"/>
  <c r="Z19" i="154"/>
  <c r="AH19" i="154"/>
  <c r="S20" i="154"/>
  <c r="AA20" i="154"/>
  <c r="AI20" i="154"/>
  <c r="J21" i="154"/>
  <c r="T21" i="154"/>
  <c r="AB21" i="154"/>
  <c r="AJ21" i="154"/>
  <c r="K22" i="154"/>
  <c r="U22" i="154"/>
  <c r="AC22" i="154"/>
  <c r="AK22" i="154"/>
  <c r="N23" i="154"/>
  <c r="V23" i="154"/>
  <c r="AD23" i="154"/>
  <c r="AL23" i="154"/>
  <c r="O24" i="154"/>
  <c r="W24" i="154"/>
  <c r="AM24" i="154"/>
  <c r="P25" i="154"/>
  <c r="X25" i="154"/>
  <c r="AF25" i="154"/>
  <c r="AN25" i="154"/>
  <c r="Q26" i="154"/>
  <c r="Y26" i="154"/>
  <c r="AG26" i="154"/>
  <c r="AO26" i="154"/>
  <c r="R27" i="154"/>
  <c r="Z27" i="154"/>
  <c r="AH27" i="154"/>
  <c r="S28" i="154"/>
  <c r="AA28" i="154"/>
  <c r="AI28" i="154"/>
  <c r="J29" i="154"/>
  <c r="T29" i="154"/>
  <c r="AB29" i="154"/>
  <c r="AJ29" i="154"/>
  <c r="K30" i="154"/>
  <c r="U30" i="154"/>
  <c r="AC30" i="154"/>
  <c r="AK30" i="154"/>
  <c r="N31" i="154"/>
  <c r="V31" i="154"/>
  <c r="AD31" i="154"/>
  <c r="AL31" i="154"/>
  <c r="R10" i="154"/>
  <c r="Z10" i="154"/>
  <c r="AH10" i="154"/>
  <c r="S11" i="154"/>
  <c r="AA11" i="154"/>
  <c r="AI11" i="154"/>
  <c r="J12" i="154"/>
  <c r="T12" i="154"/>
  <c r="AB12" i="154"/>
  <c r="AJ12" i="154"/>
  <c r="K13" i="154"/>
  <c r="U13" i="154"/>
  <c r="AC13" i="154"/>
  <c r="AK13" i="154"/>
  <c r="N14" i="154"/>
  <c r="V14" i="154"/>
  <c r="AD14" i="154"/>
  <c r="AL14" i="154"/>
  <c r="O15" i="154"/>
  <c r="W15" i="154"/>
  <c r="AM15" i="154"/>
  <c r="P16" i="154"/>
  <c r="X16" i="154"/>
  <c r="AF16" i="154"/>
  <c r="AN16" i="154"/>
  <c r="Q17" i="154"/>
  <c r="Y17" i="154"/>
  <c r="AG17" i="154"/>
  <c r="AO17" i="154"/>
  <c r="R18" i="154"/>
  <c r="Z18" i="154"/>
  <c r="AH18" i="154"/>
  <c r="S19" i="154"/>
  <c r="AA19" i="154"/>
  <c r="AI19" i="154"/>
  <c r="J20" i="154"/>
  <c r="T20" i="154"/>
  <c r="AB20" i="154"/>
  <c r="AJ20" i="154"/>
  <c r="K21" i="154"/>
  <c r="U21" i="154"/>
  <c r="AC21" i="154"/>
  <c r="AK21" i="154"/>
  <c r="N22" i="154"/>
  <c r="V22" i="154"/>
  <c r="AD22" i="154"/>
  <c r="AL22" i="154"/>
  <c r="O23" i="154"/>
  <c r="W23" i="154"/>
  <c r="AM23" i="154"/>
  <c r="P24" i="154"/>
  <c r="X24" i="154"/>
  <c r="AF24" i="154"/>
  <c r="AN24" i="154"/>
  <c r="Q25" i="154"/>
  <c r="Y25" i="154"/>
  <c r="AG25" i="154"/>
  <c r="AO25" i="154"/>
  <c r="R26" i="154"/>
  <c r="Z26" i="154"/>
  <c r="AH26" i="154"/>
  <c r="S27" i="154"/>
  <c r="AA27" i="154"/>
  <c r="AI27" i="154"/>
  <c r="J28" i="154"/>
  <c r="T28" i="154"/>
  <c r="AB28" i="154"/>
  <c r="AJ28" i="154"/>
  <c r="K29" i="154"/>
  <c r="U29" i="154"/>
  <c r="AC29" i="154"/>
  <c r="AK29" i="154"/>
  <c r="N30" i="154"/>
  <c r="S10" i="154"/>
  <c r="AA10" i="154"/>
  <c r="AI10" i="154"/>
  <c r="J11" i="154"/>
  <c r="T11" i="154"/>
  <c r="AB11" i="154"/>
  <c r="AJ11" i="154"/>
  <c r="K12" i="154"/>
  <c r="U12" i="154"/>
  <c r="AC12" i="154"/>
  <c r="AK12" i="154"/>
  <c r="N13" i="154"/>
  <c r="V13" i="154"/>
  <c r="AD13" i="154"/>
  <c r="AL13" i="154"/>
  <c r="O14" i="154"/>
  <c r="W14" i="154"/>
  <c r="AM14" i="154"/>
  <c r="P15" i="154"/>
  <c r="X15" i="154"/>
  <c r="AF15" i="154"/>
  <c r="AN15" i="154"/>
  <c r="Q16" i="154"/>
  <c r="Y16" i="154"/>
  <c r="AG16" i="154"/>
  <c r="AO16" i="154"/>
  <c r="R17" i="154"/>
  <c r="Z17" i="154"/>
  <c r="AH17" i="154"/>
  <c r="S18" i="154"/>
  <c r="AA18" i="154"/>
  <c r="AI18" i="154"/>
  <c r="J19" i="154"/>
  <c r="T19" i="154"/>
  <c r="AB19" i="154"/>
  <c r="AJ19" i="154"/>
  <c r="K20" i="154"/>
  <c r="U20" i="154"/>
  <c r="AC20" i="154"/>
  <c r="AK20" i="154"/>
  <c r="N21" i="154"/>
  <c r="V21" i="154"/>
  <c r="AD21" i="154"/>
  <c r="AL21" i="154"/>
  <c r="O22" i="154"/>
  <c r="W22" i="154"/>
  <c r="AM22" i="154"/>
  <c r="P23" i="154"/>
  <c r="X23" i="154"/>
  <c r="AF23" i="154"/>
  <c r="AN23" i="154"/>
  <c r="Q24" i="154"/>
  <c r="Y24" i="154"/>
  <c r="AG24" i="154"/>
  <c r="AO24" i="154"/>
  <c r="R25" i="154"/>
  <c r="Z25" i="154"/>
  <c r="AH25" i="154"/>
  <c r="S26" i="154"/>
  <c r="AA26" i="154"/>
  <c r="AI26" i="154"/>
  <c r="J27" i="154"/>
  <c r="T27" i="154"/>
  <c r="AB27" i="154"/>
  <c r="AJ27" i="154"/>
  <c r="K28" i="154"/>
  <c r="U28" i="154"/>
  <c r="AC28" i="154"/>
  <c r="AK28" i="154"/>
  <c r="N29" i="154"/>
  <c r="V29" i="154"/>
  <c r="AD29" i="154"/>
  <c r="AL29" i="154"/>
  <c r="O30" i="154"/>
  <c r="W30" i="154"/>
  <c r="AM30" i="154"/>
  <c r="P31" i="154"/>
  <c r="X31" i="154"/>
  <c r="AF31" i="154"/>
  <c r="J10" i="154"/>
  <c r="K10" i="154"/>
  <c r="U10" i="154"/>
  <c r="AC10" i="154"/>
  <c r="AK10" i="154"/>
  <c r="N11" i="154"/>
  <c r="V11" i="154"/>
  <c r="AD11" i="154"/>
  <c r="AL11" i="154"/>
  <c r="O12" i="154"/>
  <c r="W12" i="154"/>
  <c r="AM12" i="154"/>
  <c r="P13" i="154"/>
  <c r="X13" i="154"/>
  <c r="AF13" i="154"/>
  <c r="AN13" i="154"/>
  <c r="Q14" i="154"/>
  <c r="Y14" i="154"/>
  <c r="AG14" i="154"/>
  <c r="AO14" i="154"/>
  <c r="R15" i="154"/>
  <c r="Z15" i="154"/>
  <c r="AH15" i="154"/>
  <c r="S16" i="154"/>
  <c r="AA16" i="154"/>
  <c r="AI16" i="154"/>
  <c r="J17" i="154"/>
  <c r="T17" i="154"/>
  <c r="AB17" i="154"/>
  <c r="AJ17" i="154"/>
  <c r="K18" i="154"/>
  <c r="U18" i="154"/>
  <c r="AC18" i="154"/>
  <c r="AK18" i="154"/>
  <c r="N19" i="154"/>
  <c r="V19" i="154"/>
  <c r="AD19" i="154"/>
  <c r="AL19" i="154"/>
  <c r="O20" i="154"/>
  <c r="W20" i="154"/>
  <c r="AM20" i="154"/>
  <c r="P21" i="154"/>
  <c r="X21" i="154"/>
  <c r="AF21" i="154"/>
  <c r="AN21" i="154"/>
  <c r="Q22" i="154"/>
  <c r="Y22" i="154"/>
  <c r="AG22" i="154"/>
  <c r="AO22" i="154"/>
  <c r="R23" i="154"/>
  <c r="Z23" i="154"/>
  <c r="AH23" i="154"/>
  <c r="S24" i="154"/>
  <c r="AA24" i="154"/>
  <c r="AI24" i="154"/>
  <c r="J25" i="154"/>
  <c r="T25" i="154"/>
  <c r="AB25" i="154"/>
  <c r="AJ25" i="154"/>
  <c r="K26" i="154"/>
  <c r="U26" i="154"/>
  <c r="AC26" i="154"/>
  <c r="AK26" i="154"/>
  <c r="N27" i="154"/>
  <c r="V27" i="154"/>
  <c r="AD27" i="154"/>
  <c r="AL27" i="154"/>
  <c r="O28" i="154"/>
  <c r="W28" i="154"/>
  <c r="N10" i="154"/>
  <c r="V10" i="154"/>
  <c r="AD10" i="154"/>
  <c r="AL10" i="154"/>
  <c r="O11" i="154"/>
  <c r="W11" i="154"/>
  <c r="AM11" i="154"/>
  <c r="P12" i="154"/>
  <c r="X12" i="154"/>
  <c r="AF12" i="154"/>
  <c r="AN12" i="154"/>
  <c r="Q13" i="154"/>
  <c r="Y13" i="154"/>
  <c r="AG13" i="154"/>
  <c r="AO13" i="154"/>
  <c r="R14" i="154"/>
  <c r="Z14" i="154"/>
  <c r="AH14" i="154"/>
  <c r="S15" i="154"/>
  <c r="AA15" i="154"/>
  <c r="AI15" i="154"/>
  <c r="J16" i="154"/>
  <c r="T16" i="154"/>
  <c r="AB16" i="154"/>
  <c r="AJ16" i="154"/>
  <c r="K17" i="154"/>
  <c r="U17" i="154"/>
  <c r="AC17" i="154"/>
  <c r="AK17" i="154"/>
  <c r="N18" i="154"/>
  <c r="V18" i="154"/>
  <c r="AD18" i="154"/>
  <c r="AL18" i="154"/>
  <c r="O19" i="154"/>
  <c r="W19" i="154"/>
  <c r="AM19" i="154"/>
  <c r="P20" i="154"/>
  <c r="X20" i="154"/>
  <c r="AF20" i="154"/>
  <c r="AN20" i="154"/>
  <c r="Q21" i="154"/>
  <c r="Y21" i="154"/>
  <c r="AG21" i="154"/>
  <c r="AO21" i="154"/>
  <c r="R22" i="154"/>
  <c r="Z22" i="154"/>
  <c r="AH22" i="154"/>
  <c r="S23" i="154"/>
  <c r="AA23" i="154"/>
  <c r="AI23" i="154"/>
  <c r="J24" i="154"/>
  <c r="T24" i="154"/>
  <c r="AB24" i="154"/>
  <c r="AJ24" i="154"/>
  <c r="K25" i="154"/>
  <c r="U25" i="154"/>
  <c r="AC25" i="154"/>
  <c r="AK25" i="154"/>
  <c r="N26" i="154"/>
  <c r="V26" i="154"/>
  <c r="AD26" i="154"/>
  <c r="AL26" i="154"/>
  <c r="O27" i="154"/>
  <c r="W27" i="154"/>
  <c r="AM27" i="154"/>
  <c r="P28" i="154"/>
  <c r="X28" i="154"/>
  <c r="AF28" i="154"/>
  <c r="AN28" i="154"/>
  <c r="Q29" i="154"/>
  <c r="Y29" i="154"/>
  <c r="AG29" i="154"/>
  <c r="O10" i="154"/>
  <c r="W10" i="154"/>
  <c r="AM10" i="154"/>
  <c r="P11" i="154"/>
  <c r="X11" i="154"/>
  <c r="AF11" i="154"/>
  <c r="AN11" i="154"/>
  <c r="Q12" i="154"/>
  <c r="Y12" i="154"/>
  <c r="AG12" i="154"/>
  <c r="AO12" i="154"/>
  <c r="R13" i="154"/>
  <c r="Z13" i="154"/>
  <c r="AH13" i="154"/>
  <c r="S14" i="154"/>
  <c r="AA14" i="154"/>
  <c r="AI14" i="154"/>
  <c r="J15" i="154"/>
  <c r="T15" i="154"/>
  <c r="AB15" i="154"/>
  <c r="AJ15" i="154"/>
  <c r="K16" i="154"/>
  <c r="U16" i="154"/>
  <c r="AC16" i="154"/>
  <c r="AK16" i="154"/>
  <c r="N17" i="154"/>
  <c r="V17" i="154"/>
  <c r="AD17" i="154"/>
  <c r="AL17" i="154"/>
  <c r="O18" i="154"/>
  <c r="W18" i="154"/>
  <c r="AM18" i="154"/>
  <c r="P19" i="154"/>
  <c r="X19" i="154"/>
  <c r="AF19" i="154"/>
  <c r="AN19" i="154"/>
  <c r="Q20" i="154"/>
  <c r="Y20" i="154"/>
  <c r="AG20" i="154"/>
  <c r="AO20" i="154"/>
  <c r="R21" i="154"/>
  <c r="Z21" i="154"/>
  <c r="AH21" i="154"/>
  <c r="S22" i="154"/>
  <c r="AA22" i="154"/>
  <c r="AI22" i="154"/>
  <c r="J23" i="154"/>
  <c r="T23" i="154"/>
  <c r="AB23" i="154"/>
  <c r="AJ23" i="154"/>
  <c r="K24" i="154"/>
  <c r="U24" i="154"/>
  <c r="AC24" i="154"/>
  <c r="AK24" i="154"/>
  <c r="N25" i="154"/>
  <c r="V25" i="154"/>
  <c r="AD25" i="154"/>
  <c r="AL25" i="154"/>
  <c r="O26" i="154"/>
  <c r="W26" i="154"/>
  <c r="AM26" i="154"/>
  <c r="P27" i="154"/>
  <c r="X27" i="154"/>
  <c r="AF27" i="154"/>
  <c r="AN27" i="154"/>
  <c r="Q28" i="154"/>
  <c r="Y28" i="154"/>
  <c r="AG28" i="154"/>
  <c r="AO28" i="154"/>
  <c r="R29" i="154"/>
  <c r="Z29" i="154"/>
  <c r="AH29" i="154"/>
  <c r="S30" i="154"/>
  <c r="AA30" i="154"/>
  <c r="AI30" i="154"/>
  <c r="J31" i="154"/>
  <c r="T31" i="154"/>
  <c r="P10" i="154"/>
  <c r="X10" i="154"/>
  <c r="AF10" i="154"/>
  <c r="AN10" i="154"/>
  <c r="Q11" i="154"/>
  <c r="Y11" i="154"/>
  <c r="AG11" i="154"/>
  <c r="AO11" i="154"/>
  <c r="R12" i="154"/>
  <c r="Z12" i="154"/>
  <c r="AH12" i="154"/>
  <c r="S13" i="154"/>
  <c r="AA13" i="154"/>
  <c r="AI13" i="154"/>
  <c r="J14" i="154"/>
  <c r="T14" i="154"/>
  <c r="AB14" i="154"/>
  <c r="AJ14" i="154"/>
  <c r="K15" i="154"/>
  <c r="U15" i="154"/>
  <c r="AC15" i="154"/>
  <c r="AK15" i="154"/>
  <c r="N16" i="154"/>
  <c r="V16" i="154"/>
  <c r="AD16" i="154"/>
  <c r="AL16" i="154"/>
  <c r="O17" i="154"/>
  <c r="W17" i="154"/>
  <c r="AM17" i="154"/>
  <c r="P18" i="154"/>
  <c r="X18" i="154"/>
  <c r="AF18" i="154"/>
  <c r="AN18" i="154"/>
  <c r="Q19" i="154"/>
  <c r="Y19" i="154"/>
  <c r="AG19" i="154"/>
  <c r="AO19" i="154"/>
  <c r="R20" i="154"/>
  <c r="Z20" i="154"/>
  <c r="AH20" i="154"/>
  <c r="S21" i="154"/>
  <c r="AA21" i="154"/>
  <c r="AI21" i="154"/>
  <c r="J22" i="154"/>
  <c r="T22" i="154"/>
  <c r="AB22" i="154"/>
  <c r="AJ22" i="154"/>
  <c r="K23" i="154"/>
  <c r="U23" i="154"/>
  <c r="AC23" i="154"/>
  <c r="AK23" i="154"/>
  <c r="N24" i="154"/>
  <c r="V24" i="154"/>
  <c r="AD24" i="154"/>
  <c r="AL24" i="154"/>
  <c r="O25" i="154"/>
  <c r="W25" i="154"/>
  <c r="AM25" i="154"/>
  <c r="P26" i="154"/>
  <c r="X26" i="154"/>
  <c r="AF26" i="154"/>
  <c r="AN26" i="154"/>
  <c r="Q27" i="154"/>
  <c r="Y27" i="154"/>
  <c r="AG27" i="154"/>
  <c r="AO27" i="154"/>
  <c r="R28" i="154"/>
  <c r="Z28" i="154"/>
  <c r="AH28" i="154"/>
  <c r="S29" i="154"/>
  <c r="AA29" i="154"/>
  <c r="AI29" i="154"/>
  <c r="J30" i="154"/>
  <c r="T30" i="154"/>
  <c r="AB30" i="154"/>
  <c r="AJ30" i="154"/>
  <c r="K31" i="154"/>
  <c r="U31" i="154"/>
  <c r="T10" i="154"/>
  <c r="V12" i="154"/>
  <c r="X14" i="154"/>
  <c r="Z16" i="154"/>
  <c r="AB18" i="154"/>
  <c r="AD20" i="154"/>
  <c r="AF22" i="154"/>
  <c r="AH24" i="154"/>
  <c r="AJ26" i="154"/>
  <c r="AL28" i="154"/>
  <c r="AM29" i="154"/>
  <c r="Y30" i="154"/>
  <c r="AO30" i="154"/>
  <c r="Z31" i="154"/>
  <c r="AJ31" i="154"/>
  <c r="N32" i="154"/>
  <c r="V32" i="154"/>
  <c r="AD32" i="154"/>
  <c r="AL32" i="154"/>
  <c r="O33" i="154"/>
  <c r="W33" i="154"/>
  <c r="AM33" i="154"/>
  <c r="P34" i="154"/>
  <c r="X34" i="154"/>
  <c r="AF34" i="154"/>
  <c r="AN34" i="154"/>
  <c r="Q35" i="154"/>
  <c r="Y35" i="154"/>
  <c r="AG35" i="154"/>
  <c r="AO35" i="154"/>
  <c r="R36" i="154"/>
  <c r="Z36" i="154"/>
  <c r="AH36" i="154"/>
  <c r="S37" i="154"/>
  <c r="AA37" i="154"/>
  <c r="AI37" i="154"/>
  <c r="J38" i="154"/>
  <c r="T38" i="154"/>
  <c r="AB38" i="154"/>
  <c r="AJ38" i="154"/>
  <c r="K39" i="154"/>
  <c r="U39" i="154"/>
  <c r="AC39" i="154"/>
  <c r="AK39" i="154"/>
  <c r="N40" i="154"/>
  <c r="V40" i="154"/>
  <c r="AD40" i="154"/>
  <c r="AL40" i="154"/>
  <c r="O41" i="154"/>
  <c r="W41" i="154"/>
  <c r="AM41" i="154"/>
  <c r="P42" i="154"/>
  <c r="X42" i="154"/>
  <c r="AF42" i="154"/>
  <c r="AN42" i="154"/>
  <c r="Q43" i="154"/>
  <c r="Y43" i="154"/>
  <c r="AG43" i="154"/>
  <c r="AO43" i="154"/>
  <c r="S9" i="154"/>
  <c r="AA9" i="154"/>
  <c r="AI9" i="154"/>
  <c r="AO41" i="154"/>
  <c r="U9" i="154"/>
  <c r="AJ43" i="154"/>
  <c r="AD9" i="154"/>
  <c r="U43" i="154"/>
  <c r="AK43" i="154"/>
  <c r="AM9" i="154"/>
  <c r="AO23" i="154"/>
  <c r="AG31" i="154"/>
  <c r="J33" i="154"/>
  <c r="U34" i="154"/>
  <c r="AB10" i="154"/>
  <c r="AD12" i="154"/>
  <c r="AF14" i="154"/>
  <c r="AH16" i="154"/>
  <c r="AJ18" i="154"/>
  <c r="AL20" i="154"/>
  <c r="AN22" i="154"/>
  <c r="K27" i="154"/>
  <c r="AM28" i="154"/>
  <c r="AN29" i="154"/>
  <c r="Z30" i="154"/>
  <c r="AA31" i="154"/>
  <c r="AK31" i="154"/>
  <c r="O32" i="154"/>
  <c r="W32" i="154"/>
  <c r="AM32" i="154"/>
  <c r="P33" i="154"/>
  <c r="X33" i="154"/>
  <c r="AF33" i="154"/>
  <c r="AN33" i="154"/>
  <c r="Q34" i="154"/>
  <c r="Y34" i="154"/>
  <c r="AG34" i="154"/>
  <c r="AO34" i="154"/>
  <c r="R35" i="154"/>
  <c r="Z35" i="154"/>
  <c r="AH35" i="154"/>
  <c r="S36" i="154"/>
  <c r="AA36" i="154"/>
  <c r="AI36" i="154"/>
  <c r="J37" i="154"/>
  <c r="T37" i="154"/>
  <c r="AB37" i="154"/>
  <c r="AJ37" i="154"/>
  <c r="K38" i="154"/>
  <c r="U38" i="154"/>
  <c r="AC38" i="154"/>
  <c r="AK38" i="154"/>
  <c r="N39" i="154"/>
  <c r="V39" i="154"/>
  <c r="AD39" i="154"/>
  <c r="AL39" i="154"/>
  <c r="O40" i="154"/>
  <c r="W40" i="154"/>
  <c r="AM40" i="154"/>
  <c r="P41" i="154"/>
  <c r="X41" i="154"/>
  <c r="AF41" i="154"/>
  <c r="AN41" i="154"/>
  <c r="Q42" i="154"/>
  <c r="Y42" i="154"/>
  <c r="AG42" i="154"/>
  <c r="AO42" i="154"/>
  <c r="R43" i="154"/>
  <c r="Z43" i="154"/>
  <c r="AH43" i="154"/>
  <c r="J9" i="154"/>
  <c r="T9" i="154"/>
  <c r="AB9" i="154"/>
  <c r="AJ9" i="154"/>
  <c r="Z42" i="154"/>
  <c r="AA43" i="154"/>
  <c r="K9" i="154"/>
  <c r="AC9" i="154"/>
  <c r="AB43" i="154"/>
  <c r="AL9" i="154"/>
  <c r="AJ42" i="154"/>
  <c r="AC43" i="154"/>
  <c r="AC11" i="154"/>
  <c r="AG15" i="154"/>
  <c r="AI17" i="154"/>
  <c r="J26" i="154"/>
  <c r="X29" i="154"/>
  <c r="R30" i="154"/>
  <c r="S32" i="154"/>
  <c r="AA32" i="154"/>
  <c r="AJ33" i="154"/>
  <c r="AC34" i="154"/>
  <c r="AJ10" i="154"/>
  <c r="AL12" i="154"/>
  <c r="AN14" i="154"/>
  <c r="K19" i="154"/>
  <c r="O21" i="154"/>
  <c r="Q23" i="154"/>
  <c r="S25" i="154"/>
  <c r="U27" i="154"/>
  <c r="O29" i="154"/>
  <c r="AO29" i="154"/>
  <c r="AD30" i="154"/>
  <c r="O31" i="154"/>
  <c r="AB31" i="154"/>
  <c r="AM31" i="154"/>
  <c r="P32" i="154"/>
  <c r="X32" i="154"/>
  <c r="AF32" i="154"/>
  <c r="AN32" i="154"/>
  <c r="Q33" i="154"/>
  <c r="Y33" i="154"/>
  <c r="AG33" i="154"/>
  <c r="AO33" i="154"/>
  <c r="R34" i="154"/>
  <c r="Z34" i="154"/>
  <c r="AH34" i="154"/>
  <c r="S35" i="154"/>
  <c r="AA35" i="154"/>
  <c r="AI35" i="154"/>
  <c r="J36" i="154"/>
  <c r="T36" i="154"/>
  <c r="AB36" i="154"/>
  <c r="AJ36" i="154"/>
  <c r="K37" i="154"/>
  <c r="U37" i="154"/>
  <c r="AC37" i="154"/>
  <c r="AK37" i="154"/>
  <c r="N38" i="154"/>
  <c r="V38" i="154"/>
  <c r="AD38" i="154"/>
  <c r="AL38" i="154"/>
  <c r="O39" i="154"/>
  <c r="W39" i="154"/>
  <c r="AM39" i="154"/>
  <c r="P40" i="154"/>
  <c r="X40" i="154"/>
  <c r="AF40" i="154"/>
  <c r="AN40" i="154"/>
  <c r="Q41" i="154"/>
  <c r="Y41" i="154"/>
  <c r="AG41" i="154"/>
  <c r="R42" i="154"/>
  <c r="AH42" i="154"/>
  <c r="S43" i="154"/>
  <c r="AI43" i="154"/>
  <c r="AK9" i="154"/>
  <c r="N9" i="154"/>
  <c r="T42" i="154"/>
  <c r="W9" i="154"/>
  <c r="AM21" i="154"/>
  <c r="AH30" i="154"/>
  <c r="AI32" i="154"/>
  <c r="K34" i="154"/>
  <c r="K11" i="154"/>
  <c r="O13" i="154"/>
  <c r="Q15" i="154"/>
  <c r="S17" i="154"/>
  <c r="U19" i="154"/>
  <c r="W21" i="154"/>
  <c r="Y23" i="154"/>
  <c r="AA25" i="154"/>
  <c r="AC27" i="154"/>
  <c r="P29" i="154"/>
  <c r="P30" i="154"/>
  <c r="AF30" i="154"/>
  <c r="Q31" i="154"/>
  <c r="AC31" i="154"/>
  <c r="AN31" i="154"/>
  <c r="Q32" i="154"/>
  <c r="Y32" i="154"/>
  <c r="AG32" i="154"/>
  <c r="AO32" i="154"/>
  <c r="R33" i="154"/>
  <c r="Z33" i="154"/>
  <c r="AH33" i="154"/>
  <c r="S34" i="154"/>
  <c r="AA34" i="154"/>
  <c r="AI34" i="154"/>
  <c r="J35" i="154"/>
  <c r="T35" i="154"/>
  <c r="AB35" i="154"/>
  <c r="AJ35" i="154"/>
  <c r="K36" i="154"/>
  <c r="U36" i="154"/>
  <c r="AC36" i="154"/>
  <c r="AK36" i="154"/>
  <c r="N37" i="154"/>
  <c r="V37" i="154"/>
  <c r="AD37" i="154"/>
  <c r="AL37" i="154"/>
  <c r="O38" i="154"/>
  <c r="W38" i="154"/>
  <c r="AM38" i="154"/>
  <c r="P39" i="154"/>
  <c r="X39" i="154"/>
  <c r="AF39" i="154"/>
  <c r="AN39" i="154"/>
  <c r="Q40" i="154"/>
  <c r="Y40" i="154"/>
  <c r="AG40" i="154"/>
  <c r="AO40" i="154"/>
  <c r="R41" i="154"/>
  <c r="Z41" i="154"/>
  <c r="AH41" i="154"/>
  <c r="S42" i="154"/>
  <c r="AA42" i="154"/>
  <c r="AI42" i="154"/>
  <c r="J43" i="154"/>
  <c r="T43" i="154"/>
  <c r="V9" i="154"/>
  <c r="AB42" i="154"/>
  <c r="O9" i="154"/>
  <c r="N28" i="154"/>
  <c r="AB33" i="154"/>
  <c r="U11" i="154"/>
  <c r="W13" i="154"/>
  <c r="Y15" i="154"/>
  <c r="AA17" i="154"/>
  <c r="AC19" i="154"/>
  <c r="AG23" i="154"/>
  <c r="AI25" i="154"/>
  <c r="AK27" i="154"/>
  <c r="W29" i="154"/>
  <c r="Q30" i="154"/>
  <c r="AG30" i="154"/>
  <c r="R31" i="154"/>
  <c r="AO31" i="154"/>
  <c r="R32" i="154"/>
  <c r="Z32" i="154"/>
  <c r="AH32" i="154"/>
  <c r="S33" i="154"/>
  <c r="AA33" i="154"/>
  <c r="AI33" i="154"/>
  <c r="J34" i="154"/>
  <c r="T34" i="154"/>
  <c r="AB34" i="154"/>
  <c r="AJ34" i="154"/>
  <c r="K35" i="154"/>
  <c r="U35" i="154"/>
  <c r="AC35" i="154"/>
  <c r="AK35" i="154"/>
  <c r="N36" i="154"/>
  <c r="V36" i="154"/>
  <c r="AD36" i="154"/>
  <c r="AL36" i="154"/>
  <c r="O37" i="154"/>
  <c r="W37" i="154"/>
  <c r="AM37" i="154"/>
  <c r="P38" i="154"/>
  <c r="X38" i="154"/>
  <c r="AF38" i="154"/>
  <c r="AN38" i="154"/>
  <c r="Q39" i="154"/>
  <c r="Y39" i="154"/>
  <c r="AG39" i="154"/>
  <c r="AO39" i="154"/>
  <c r="R40" i="154"/>
  <c r="Z40" i="154"/>
  <c r="AH40" i="154"/>
  <c r="S41" i="154"/>
  <c r="AA41" i="154"/>
  <c r="AI41" i="154"/>
  <c r="J42" i="154"/>
  <c r="K43" i="154"/>
  <c r="AK19" i="154"/>
  <c r="S31" i="154"/>
  <c r="T33" i="154"/>
  <c r="AK11" i="154"/>
  <c r="AM13" i="154"/>
  <c r="AO15" i="154"/>
  <c r="J18" i="154"/>
  <c r="N20" i="154"/>
  <c r="P22" i="154"/>
  <c r="R24" i="154"/>
  <c r="T26" i="154"/>
  <c r="V28" i="154"/>
  <c r="V30" i="154"/>
  <c r="AL30" i="154"/>
  <c r="W31" i="154"/>
  <c r="AH31" i="154"/>
  <c r="J32" i="154"/>
  <c r="T32" i="154"/>
  <c r="AB32" i="154"/>
  <c r="AJ32" i="154"/>
  <c r="K33" i="154"/>
  <c r="U33" i="154"/>
  <c r="AC33" i="154"/>
  <c r="AK33" i="154"/>
  <c r="N34" i="154"/>
  <c r="V34" i="154"/>
  <c r="AD34" i="154"/>
  <c r="AL34" i="154"/>
  <c r="O35" i="154"/>
  <c r="W35" i="154"/>
  <c r="AM35" i="154"/>
  <c r="P36" i="154"/>
  <c r="X36" i="154"/>
  <c r="AF36" i="154"/>
  <c r="AN36" i="154"/>
  <c r="Q37" i="154"/>
  <c r="Y37" i="154"/>
  <c r="AG37" i="154"/>
  <c r="AO37" i="154"/>
  <c r="R38" i="154"/>
  <c r="Z38" i="154"/>
  <c r="AH38" i="154"/>
  <c r="S39" i="154"/>
  <c r="AA39" i="154"/>
  <c r="AI39" i="154"/>
  <c r="J40" i="154"/>
  <c r="T40" i="154"/>
  <c r="AB40" i="154"/>
  <c r="AJ40" i="154"/>
  <c r="K41" i="154"/>
  <c r="U41" i="154"/>
  <c r="AC41" i="154"/>
  <c r="AK41" i="154"/>
  <c r="N42" i="154"/>
  <c r="V42" i="154"/>
  <c r="AD42" i="154"/>
  <c r="AL42" i="154"/>
  <c r="O43" i="154"/>
  <c r="W43" i="154"/>
  <c r="AM43" i="154"/>
  <c r="Q9" i="154"/>
  <c r="Y9" i="154"/>
  <c r="AG9" i="154"/>
  <c r="AO9" i="154"/>
  <c r="N12" i="154"/>
  <c r="P14" i="154"/>
  <c r="R16" i="154"/>
  <c r="T18" i="154"/>
  <c r="V20" i="154"/>
  <c r="X22" i="154"/>
  <c r="Z24" i="154"/>
  <c r="AB26" i="154"/>
  <c r="AD28" i="154"/>
  <c r="AF29" i="154"/>
  <c r="X30" i="154"/>
  <c r="AN30" i="154"/>
  <c r="Y31" i="154"/>
  <c r="AI31" i="154"/>
  <c r="K32" i="154"/>
  <c r="O34" i="154"/>
  <c r="X35" i="154"/>
  <c r="Y36" i="154"/>
  <c r="Z37" i="154"/>
  <c r="AA38" i="154"/>
  <c r="AB39" i="154"/>
  <c r="AC40" i="154"/>
  <c r="AD41" i="154"/>
  <c r="AF43" i="154"/>
  <c r="AH9" i="154"/>
  <c r="AG38" i="154"/>
  <c r="AH39" i="154"/>
  <c r="AJ41" i="154"/>
  <c r="AK42" i="154"/>
  <c r="AL43" i="154"/>
  <c r="AF35" i="154"/>
  <c r="AG36" i="154"/>
  <c r="AH37" i="154"/>
  <c r="AJ39" i="154"/>
  <c r="AK40" i="154"/>
  <c r="AN43" i="154"/>
  <c r="AN35" i="154"/>
  <c r="N41" i="154"/>
  <c r="R9" i="154"/>
  <c r="N35" i="154"/>
  <c r="R39" i="154"/>
  <c r="V43" i="154"/>
  <c r="U32" i="154"/>
  <c r="W34" i="154"/>
  <c r="AD35" i="154"/>
  <c r="AF37" i="154"/>
  <c r="AI40" i="154"/>
  <c r="AN9" i="154"/>
  <c r="AI38" i="154"/>
  <c r="AM42" i="154"/>
  <c r="V33" i="154"/>
  <c r="U42" i="154"/>
  <c r="AC32" i="154"/>
  <c r="AL41" i="154"/>
  <c r="AM34" i="154"/>
  <c r="J39" i="154"/>
  <c r="P43" i="154"/>
  <c r="P37" i="154"/>
  <c r="T41" i="154"/>
  <c r="AK32" i="154"/>
  <c r="AK34" i="154"/>
  <c r="AL35" i="154"/>
  <c r="AM36" i="154"/>
  <c r="AN37" i="154"/>
  <c r="AO38" i="154"/>
  <c r="J41" i="154"/>
  <c r="K42" i="154"/>
  <c r="N43" i="154"/>
  <c r="P9" i="154"/>
  <c r="N33" i="154"/>
  <c r="AO36" i="154"/>
  <c r="K40" i="154"/>
  <c r="O42" i="154"/>
  <c r="O36" i="154"/>
  <c r="S40" i="154"/>
  <c r="X9" i="154"/>
  <c r="AD33" i="154"/>
  <c r="P35" i="154"/>
  <c r="Q36" i="154"/>
  <c r="R37" i="154"/>
  <c r="S38" i="154"/>
  <c r="T39" i="154"/>
  <c r="U40" i="154"/>
  <c r="V41" i="154"/>
  <c r="W42" i="154"/>
  <c r="X43" i="154"/>
  <c r="Z9" i="154"/>
  <c r="AL33" i="154"/>
  <c r="V35" i="154"/>
  <c r="W36" i="154"/>
  <c r="X37" i="154"/>
  <c r="Y38" i="154"/>
  <c r="Z39" i="154"/>
  <c r="AA40" i="154"/>
  <c r="AB41" i="154"/>
  <c r="AC42" i="154"/>
  <c r="AD43" i="154"/>
  <c r="AF9" i="154"/>
  <c r="Q38" i="154"/>
  <c r="CG10" i="154"/>
  <c r="CO10" i="154"/>
  <c r="CW10" i="154"/>
  <c r="BZ11" i="154"/>
  <c r="CH11" i="154"/>
  <c r="CP11" i="154"/>
  <c r="CX11" i="154"/>
  <c r="CA12" i="154"/>
  <c r="CI12" i="154"/>
  <c r="CQ12" i="154"/>
  <c r="CY12" i="154"/>
  <c r="CB13" i="154"/>
  <c r="CJ13" i="154"/>
  <c r="CR13" i="154"/>
  <c r="CZ13" i="154"/>
  <c r="CC14" i="154"/>
  <c r="CK14" i="154"/>
  <c r="CS14" i="154"/>
  <c r="DA14" i="154"/>
  <c r="CD15" i="154"/>
  <c r="CL15" i="154"/>
  <c r="CT15" i="154"/>
  <c r="DB15" i="154"/>
  <c r="CE16" i="154"/>
  <c r="CM16" i="154"/>
  <c r="CU16" i="154"/>
  <c r="DE16" i="154"/>
  <c r="CF17" i="154"/>
  <c r="CN17" i="154"/>
  <c r="CV17" i="154"/>
  <c r="CG18" i="154"/>
  <c r="CO18" i="154"/>
  <c r="CW18" i="154"/>
  <c r="BZ19" i="154"/>
  <c r="CH19" i="154"/>
  <c r="CP19" i="154"/>
  <c r="CX19" i="154"/>
  <c r="CA20" i="154"/>
  <c r="CI20" i="154"/>
  <c r="CQ20" i="154"/>
  <c r="CY20" i="154"/>
  <c r="CB21" i="154"/>
  <c r="CJ21" i="154"/>
  <c r="CR21" i="154"/>
  <c r="CZ21" i="154"/>
  <c r="CC22" i="154"/>
  <c r="CK22" i="154"/>
  <c r="CS22" i="154"/>
  <c r="DA22" i="154"/>
  <c r="CD23" i="154"/>
  <c r="CL23" i="154"/>
  <c r="CT23" i="154"/>
  <c r="DB23" i="154"/>
  <c r="CE24" i="154"/>
  <c r="CM24" i="154"/>
  <c r="CU24" i="154"/>
  <c r="DE24" i="154"/>
  <c r="CF25" i="154"/>
  <c r="CN25" i="154"/>
  <c r="CV25" i="154"/>
  <c r="CG26" i="154"/>
  <c r="CO26" i="154"/>
  <c r="CW26" i="154"/>
  <c r="BZ27" i="154"/>
  <c r="CH27" i="154"/>
  <c r="CP27" i="154"/>
  <c r="CX27" i="154"/>
  <c r="CA28" i="154"/>
  <c r="CI28" i="154"/>
  <c r="CQ28" i="154"/>
  <c r="CY28" i="154"/>
  <c r="CB29" i="154"/>
  <c r="CJ29" i="154"/>
  <c r="CR29" i="154"/>
  <c r="CZ29" i="154"/>
  <c r="CC30" i="154"/>
  <c r="CK30" i="154"/>
  <c r="CS30" i="154"/>
  <c r="BZ10" i="154"/>
  <c r="CH10" i="154"/>
  <c r="CP10" i="154"/>
  <c r="CX10" i="154"/>
  <c r="CA11" i="154"/>
  <c r="CI11" i="154"/>
  <c r="CQ11" i="154"/>
  <c r="CY11" i="154"/>
  <c r="CB12" i="154"/>
  <c r="CJ12" i="154"/>
  <c r="CR12" i="154"/>
  <c r="CZ12" i="154"/>
  <c r="CC13" i="154"/>
  <c r="CK13" i="154"/>
  <c r="CS13" i="154"/>
  <c r="DA13" i="154"/>
  <c r="CD14" i="154"/>
  <c r="CL14" i="154"/>
  <c r="CT14" i="154"/>
  <c r="DB14" i="154"/>
  <c r="CE15" i="154"/>
  <c r="CM15" i="154"/>
  <c r="CU15" i="154"/>
  <c r="DE15" i="154"/>
  <c r="CF16" i="154"/>
  <c r="CN16" i="154"/>
  <c r="CV16" i="154"/>
  <c r="CG17" i="154"/>
  <c r="CO17" i="154"/>
  <c r="CW17" i="154"/>
  <c r="BZ18" i="154"/>
  <c r="CH18" i="154"/>
  <c r="CP18" i="154"/>
  <c r="CX18" i="154"/>
  <c r="CA19" i="154"/>
  <c r="CI19" i="154"/>
  <c r="CQ19" i="154"/>
  <c r="CY19" i="154"/>
  <c r="CB20" i="154"/>
  <c r="CJ20" i="154"/>
  <c r="CR20" i="154"/>
  <c r="CZ20" i="154"/>
  <c r="CC21" i="154"/>
  <c r="CK21" i="154"/>
  <c r="CS21" i="154"/>
  <c r="DA21" i="154"/>
  <c r="CD22" i="154"/>
  <c r="CL22" i="154"/>
  <c r="CT22" i="154"/>
  <c r="DB22" i="154"/>
  <c r="CE23" i="154"/>
  <c r="CM23" i="154"/>
  <c r="CU23" i="154"/>
  <c r="DE23" i="154"/>
  <c r="CF24" i="154"/>
  <c r="CN24" i="154"/>
  <c r="CV24" i="154"/>
  <c r="CG25" i="154"/>
  <c r="CO25" i="154"/>
  <c r="CW25" i="154"/>
  <c r="BZ26" i="154"/>
  <c r="CH26" i="154"/>
  <c r="CP26" i="154"/>
  <c r="CX26" i="154"/>
  <c r="CA27" i="154"/>
  <c r="CI27" i="154"/>
  <c r="CQ27" i="154"/>
  <c r="CY27" i="154"/>
  <c r="CB28" i="154"/>
  <c r="CJ28" i="154"/>
  <c r="CR28" i="154"/>
  <c r="CA10" i="154"/>
  <c r="CI10" i="154"/>
  <c r="CQ10" i="154"/>
  <c r="CY10" i="154"/>
  <c r="CB11" i="154"/>
  <c r="CJ11" i="154"/>
  <c r="CR11" i="154"/>
  <c r="CZ11" i="154"/>
  <c r="CC12" i="154"/>
  <c r="CK12" i="154"/>
  <c r="CS12" i="154"/>
  <c r="DA12" i="154"/>
  <c r="CD13" i="154"/>
  <c r="CL13" i="154"/>
  <c r="CT13" i="154"/>
  <c r="DB13" i="154"/>
  <c r="CE14" i="154"/>
  <c r="CM14" i="154"/>
  <c r="CU14" i="154"/>
  <c r="DE14" i="154"/>
  <c r="CF15" i="154"/>
  <c r="CN15" i="154"/>
  <c r="CV15" i="154"/>
  <c r="CG16" i="154"/>
  <c r="CO16" i="154"/>
  <c r="CW16" i="154"/>
  <c r="BZ17" i="154"/>
  <c r="CH17" i="154"/>
  <c r="CP17" i="154"/>
  <c r="CX17" i="154"/>
  <c r="CA18" i="154"/>
  <c r="CI18" i="154"/>
  <c r="CQ18" i="154"/>
  <c r="CY18" i="154"/>
  <c r="CB19" i="154"/>
  <c r="CJ19" i="154"/>
  <c r="CR19" i="154"/>
  <c r="CZ19" i="154"/>
  <c r="CC20" i="154"/>
  <c r="CK20" i="154"/>
  <c r="CS20" i="154"/>
  <c r="DA20" i="154"/>
  <c r="CD21" i="154"/>
  <c r="CL21" i="154"/>
  <c r="CT21" i="154"/>
  <c r="DB21" i="154"/>
  <c r="CE22" i="154"/>
  <c r="CM22" i="154"/>
  <c r="CU22" i="154"/>
  <c r="DE22" i="154"/>
  <c r="CF23" i="154"/>
  <c r="CN23" i="154"/>
  <c r="CV23" i="154"/>
  <c r="CG24" i="154"/>
  <c r="CO24" i="154"/>
  <c r="CW24" i="154"/>
  <c r="BZ25" i="154"/>
  <c r="CH25" i="154"/>
  <c r="CP25" i="154"/>
  <c r="CX25" i="154"/>
  <c r="CA26" i="154"/>
  <c r="CI26" i="154"/>
  <c r="CQ26" i="154"/>
  <c r="CY26" i="154"/>
  <c r="CB27" i="154"/>
  <c r="CJ27" i="154"/>
  <c r="CR27" i="154"/>
  <c r="CZ27" i="154"/>
  <c r="CC28" i="154"/>
  <c r="CK28" i="154"/>
  <c r="CS28" i="154"/>
  <c r="DA28" i="154"/>
  <c r="CD29" i="154"/>
  <c r="CL29" i="154"/>
  <c r="CT29" i="154"/>
  <c r="DB29" i="154"/>
  <c r="CE30" i="154"/>
  <c r="CM30" i="154"/>
  <c r="CU30" i="154"/>
  <c r="CB10" i="154"/>
  <c r="CJ10" i="154"/>
  <c r="CR10" i="154"/>
  <c r="CZ10" i="154"/>
  <c r="CC11" i="154"/>
  <c r="CK11" i="154"/>
  <c r="CS11" i="154"/>
  <c r="DA11" i="154"/>
  <c r="CD12" i="154"/>
  <c r="CL12" i="154"/>
  <c r="CT12" i="154"/>
  <c r="DB12" i="154"/>
  <c r="CE13" i="154"/>
  <c r="CM13" i="154"/>
  <c r="CU13" i="154"/>
  <c r="DE13" i="154"/>
  <c r="CF14" i="154"/>
  <c r="CN14" i="154"/>
  <c r="CV14" i="154"/>
  <c r="CG15" i="154"/>
  <c r="CO15" i="154"/>
  <c r="CW15" i="154"/>
  <c r="BZ16" i="154"/>
  <c r="CH16" i="154"/>
  <c r="CP16" i="154"/>
  <c r="CX16" i="154"/>
  <c r="CA17" i="154"/>
  <c r="CI17" i="154"/>
  <c r="CQ17" i="154"/>
  <c r="CY17" i="154"/>
  <c r="CB18" i="154"/>
  <c r="CJ18" i="154"/>
  <c r="CR18" i="154"/>
  <c r="CZ18" i="154"/>
  <c r="CC19" i="154"/>
  <c r="CK19" i="154"/>
  <c r="CS19" i="154"/>
  <c r="DA19" i="154"/>
  <c r="CD20" i="154"/>
  <c r="CL20" i="154"/>
  <c r="CT20" i="154"/>
  <c r="DB20" i="154"/>
  <c r="CE21" i="154"/>
  <c r="CM21" i="154"/>
  <c r="CU21" i="154"/>
  <c r="DE21" i="154"/>
  <c r="CF22" i="154"/>
  <c r="CN22" i="154"/>
  <c r="CV22" i="154"/>
  <c r="CG23" i="154"/>
  <c r="CO23" i="154"/>
  <c r="CW23" i="154"/>
  <c r="BZ24" i="154"/>
  <c r="CH24" i="154"/>
  <c r="CP24" i="154"/>
  <c r="CX24" i="154"/>
  <c r="CA25" i="154"/>
  <c r="CI25" i="154"/>
  <c r="CQ25" i="154"/>
  <c r="CY25" i="154"/>
  <c r="CB26" i="154"/>
  <c r="CJ26" i="154"/>
  <c r="CR26" i="154"/>
  <c r="CZ26" i="154"/>
  <c r="CC27" i="154"/>
  <c r="CK27" i="154"/>
  <c r="CS27" i="154"/>
  <c r="DA27" i="154"/>
  <c r="CD28" i="154"/>
  <c r="CL28" i="154"/>
  <c r="CT28" i="154"/>
  <c r="DB28" i="154"/>
  <c r="CE29" i="154"/>
  <c r="CM29" i="154"/>
  <c r="CU29" i="154"/>
  <c r="DE29" i="154"/>
  <c r="CF30" i="154"/>
  <c r="CN30" i="154"/>
  <c r="CV30" i="154"/>
  <c r="CG31" i="154"/>
  <c r="CO31" i="154"/>
  <c r="CW31" i="154"/>
  <c r="CC10" i="154"/>
  <c r="CK10" i="154"/>
  <c r="CS10" i="154"/>
  <c r="DA10" i="154"/>
  <c r="CD11" i="154"/>
  <c r="CL11" i="154"/>
  <c r="CT11" i="154"/>
  <c r="DB11" i="154"/>
  <c r="CE12" i="154"/>
  <c r="CM12" i="154"/>
  <c r="CU12" i="154"/>
  <c r="DE12" i="154"/>
  <c r="CF13" i="154"/>
  <c r="CN13" i="154"/>
  <c r="CV13" i="154"/>
  <c r="CG14" i="154"/>
  <c r="CO14" i="154"/>
  <c r="CW14" i="154"/>
  <c r="BZ15" i="154"/>
  <c r="CH15" i="154"/>
  <c r="CP15" i="154"/>
  <c r="CX15" i="154"/>
  <c r="CA16" i="154"/>
  <c r="CI16" i="154"/>
  <c r="CQ16" i="154"/>
  <c r="CY16" i="154"/>
  <c r="CB17" i="154"/>
  <c r="CJ17" i="154"/>
  <c r="CR17" i="154"/>
  <c r="CZ17" i="154"/>
  <c r="CC18" i="154"/>
  <c r="CK18" i="154"/>
  <c r="CS18" i="154"/>
  <c r="DA18" i="154"/>
  <c r="CD19" i="154"/>
  <c r="CL19" i="154"/>
  <c r="CT19" i="154"/>
  <c r="DB19" i="154"/>
  <c r="CE20" i="154"/>
  <c r="CM20" i="154"/>
  <c r="CU20" i="154"/>
  <c r="DE20" i="154"/>
  <c r="CF21" i="154"/>
  <c r="CN21" i="154"/>
  <c r="CV21" i="154"/>
  <c r="CG22" i="154"/>
  <c r="CO22" i="154"/>
  <c r="CW22" i="154"/>
  <c r="BZ23" i="154"/>
  <c r="CH23" i="154"/>
  <c r="CP23" i="154"/>
  <c r="CX23" i="154"/>
  <c r="CA24" i="154"/>
  <c r="CI24" i="154"/>
  <c r="CQ24" i="154"/>
  <c r="CY24" i="154"/>
  <c r="CB25" i="154"/>
  <c r="CJ25" i="154"/>
  <c r="CR25" i="154"/>
  <c r="CZ25" i="154"/>
  <c r="CC26" i="154"/>
  <c r="CK26" i="154"/>
  <c r="CS26" i="154"/>
  <c r="DA26" i="154"/>
  <c r="CD27" i="154"/>
  <c r="CL27" i="154"/>
  <c r="CT27" i="154"/>
  <c r="DB27" i="154"/>
  <c r="CE28" i="154"/>
  <c r="CM28" i="154"/>
  <c r="CU28" i="154"/>
  <c r="CE10" i="154"/>
  <c r="CM10" i="154"/>
  <c r="CU10" i="154"/>
  <c r="DE10" i="154"/>
  <c r="CF11" i="154"/>
  <c r="CN11" i="154"/>
  <c r="CV11" i="154"/>
  <c r="CG12" i="154"/>
  <c r="CO12" i="154"/>
  <c r="CW12" i="154"/>
  <c r="BZ13" i="154"/>
  <c r="CH13" i="154"/>
  <c r="CP13" i="154"/>
  <c r="CX13" i="154"/>
  <c r="CA14" i="154"/>
  <c r="CI14" i="154"/>
  <c r="CQ14" i="154"/>
  <c r="CY14" i="154"/>
  <c r="CB15" i="154"/>
  <c r="CJ15" i="154"/>
  <c r="CR15" i="154"/>
  <c r="CZ15" i="154"/>
  <c r="CC16" i="154"/>
  <c r="CK16" i="154"/>
  <c r="CS16" i="154"/>
  <c r="DA16" i="154"/>
  <c r="CD17" i="154"/>
  <c r="CL17" i="154"/>
  <c r="CT17" i="154"/>
  <c r="DB17" i="154"/>
  <c r="CE18" i="154"/>
  <c r="CM18" i="154"/>
  <c r="CU18" i="154"/>
  <c r="DE18" i="154"/>
  <c r="CF19" i="154"/>
  <c r="CN19" i="154"/>
  <c r="CV19" i="154"/>
  <c r="CG20" i="154"/>
  <c r="CO20" i="154"/>
  <c r="CW20" i="154"/>
  <c r="BZ21" i="154"/>
  <c r="CH21" i="154"/>
  <c r="CP21" i="154"/>
  <c r="CX21" i="154"/>
  <c r="CA22" i="154"/>
  <c r="CI22" i="154"/>
  <c r="CQ22" i="154"/>
  <c r="CY22" i="154"/>
  <c r="CB23" i="154"/>
  <c r="CJ23" i="154"/>
  <c r="CR23" i="154"/>
  <c r="CZ23" i="154"/>
  <c r="CC24" i="154"/>
  <c r="CK24" i="154"/>
  <c r="CS24" i="154"/>
  <c r="DA24" i="154"/>
  <c r="CD25" i="154"/>
  <c r="CL25" i="154"/>
  <c r="CT25" i="154"/>
  <c r="DB25" i="154"/>
  <c r="CE26" i="154"/>
  <c r="CM26" i="154"/>
  <c r="CU26" i="154"/>
  <c r="DE26" i="154"/>
  <c r="CF27" i="154"/>
  <c r="CN27" i="154"/>
  <c r="CV27" i="154"/>
  <c r="CG28" i="154"/>
  <c r="CO28" i="154"/>
  <c r="CW28" i="154"/>
  <c r="BZ29" i="154"/>
  <c r="CH29" i="154"/>
  <c r="CP29" i="154"/>
  <c r="CX29" i="154"/>
  <c r="CA30" i="154"/>
  <c r="CI30" i="154"/>
  <c r="CQ30" i="154"/>
  <c r="CY30" i="154"/>
  <c r="CB31" i="154"/>
  <c r="CJ31" i="154"/>
  <c r="CR31" i="154"/>
  <c r="CZ31" i="154"/>
  <c r="CD10" i="154"/>
  <c r="CE11" i="154"/>
  <c r="CF12" i="154"/>
  <c r="CG13" i="154"/>
  <c r="CH14" i="154"/>
  <c r="CI15" i="154"/>
  <c r="CJ16" i="154"/>
  <c r="CK17" i="154"/>
  <c r="CL18" i="154"/>
  <c r="CM19" i="154"/>
  <c r="CN20" i="154"/>
  <c r="CO21" i="154"/>
  <c r="CP22" i="154"/>
  <c r="CQ23" i="154"/>
  <c r="CR24" i="154"/>
  <c r="CS25" i="154"/>
  <c r="CT26" i="154"/>
  <c r="CU27" i="154"/>
  <c r="CV28" i="154"/>
  <c r="CG29" i="154"/>
  <c r="CW29" i="154"/>
  <c r="CH30" i="154"/>
  <c r="CX30" i="154"/>
  <c r="CD31" i="154"/>
  <c r="CN31" i="154"/>
  <c r="CY31" i="154"/>
  <c r="CC32" i="154"/>
  <c r="CK32" i="154"/>
  <c r="CS32" i="154"/>
  <c r="DA32" i="154"/>
  <c r="CD33" i="154"/>
  <c r="CL33" i="154"/>
  <c r="CT33" i="154"/>
  <c r="DB33" i="154"/>
  <c r="CE34" i="154"/>
  <c r="CM34" i="154"/>
  <c r="CU34" i="154"/>
  <c r="DE34" i="154"/>
  <c r="CF35" i="154"/>
  <c r="CN35" i="154"/>
  <c r="CV35" i="154"/>
  <c r="CG36" i="154"/>
  <c r="CO36" i="154"/>
  <c r="CW36" i="154"/>
  <c r="BZ37" i="154"/>
  <c r="CH37" i="154"/>
  <c r="CP37" i="154"/>
  <c r="CX37" i="154"/>
  <c r="CA38" i="154"/>
  <c r="CI38" i="154"/>
  <c r="CQ38" i="154"/>
  <c r="CY38" i="154"/>
  <c r="CB39" i="154"/>
  <c r="CJ39" i="154"/>
  <c r="CR39" i="154"/>
  <c r="CZ39" i="154"/>
  <c r="CC40" i="154"/>
  <c r="CK40" i="154"/>
  <c r="CS40" i="154"/>
  <c r="DA40" i="154"/>
  <c r="CD41" i="154"/>
  <c r="CL41" i="154"/>
  <c r="CT41" i="154"/>
  <c r="DB41" i="154"/>
  <c r="CE42" i="154"/>
  <c r="CM42" i="154"/>
  <c r="CU42" i="154"/>
  <c r="DE42" i="154"/>
  <c r="CF43" i="154"/>
  <c r="CN43" i="154"/>
  <c r="CV43" i="154"/>
  <c r="BZ9" i="154"/>
  <c r="CH9" i="154"/>
  <c r="CP9" i="154"/>
  <c r="CF10" i="154"/>
  <c r="CG11" i="154"/>
  <c r="CH12" i="154"/>
  <c r="CI13" i="154"/>
  <c r="CJ14" i="154"/>
  <c r="CK15" i="154"/>
  <c r="CL16" i="154"/>
  <c r="CM17" i="154"/>
  <c r="CN18" i="154"/>
  <c r="CO19" i="154"/>
  <c r="CP20" i="154"/>
  <c r="CQ21" i="154"/>
  <c r="CR22" i="154"/>
  <c r="CS23" i="154"/>
  <c r="CT24" i="154"/>
  <c r="CU25" i="154"/>
  <c r="CV26" i="154"/>
  <c r="CW27" i="154"/>
  <c r="CX28" i="154"/>
  <c r="CI29" i="154"/>
  <c r="CY29" i="154"/>
  <c r="CJ30" i="154"/>
  <c r="CZ30" i="154"/>
  <c r="CE31" i="154"/>
  <c r="CP31" i="154"/>
  <c r="DA31" i="154"/>
  <c r="CD32" i="154"/>
  <c r="CL32" i="154"/>
  <c r="CT32" i="154"/>
  <c r="DB32" i="154"/>
  <c r="CE33" i="154"/>
  <c r="CM33" i="154"/>
  <c r="CU33" i="154"/>
  <c r="DE33" i="154"/>
  <c r="CF34" i="154"/>
  <c r="CN34" i="154"/>
  <c r="CV34" i="154"/>
  <c r="CG35" i="154"/>
  <c r="CO35" i="154"/>
  <c r="CW35" i="154"/>
  <c r="BZ36" i="154"/>
  <c r="CH36" i="154"/>
  <c r="CP36" i="154"/>
  <c r="CX36" i="154"/>
  <c r="CA37" i="154"/>
  <c r="CI37" i="154"/>
  <c r="CQ37" i="154"/>
  <c r="CY37" i="154"/>
  <c r="CB38" i="154"/>
  <c r="CJ38" i="154"/>
  <c r="CR38" i="154"/>
  <c r="CZ38" i="154"/>
  <c r="CC39" i="154"/>
  <c r="CK39" i="154"/>
  <c r="CS39" i="154"/>
  <c r="DA39" i="154"/>
  <c r="CD40" i="154"/>
  <c r="CL40" i="154"/>
  <c r="CT40" i="154"/>
  <c r="DB40" i="154"/>
  <c r="CE41" i="154"/>
  <c r="CM41" i="154"/>
  <c r="CU41" i="154"/>
  <c r="DE41" i="154"/>
  <c r="CF42" i="154"/>
  <c r="CN42" i="154"/>
  <c r="CV42" i="154"/>
  <c r="CG43" i="154"/>
  <c r="CO43" i="154"/>
  <c r="CW43" i="154"/>
  <c r="CA9" i="154"/>
  <c r="CL10" i="154"/>
  <c r="CM11" i="154"/>
  <c r="CN12" i="154"/>
  <c r="CO13" i="154"/>
  <c r="CP14" i="154"/>
  <c r="CQ15" i="154"/>
  <c r="CR16" i="154"/>
  <c r="CS17" i="154"/>
  <c r="CT18" i="154"/>
  <c r="CU19" i="154"/>
  <c r="CV20" i="154"/>
  <c r="CW21" i="154"/>
  <c r="CX22" i="154"/>
  <c r="CY23" i="154"/>
  <c r="CZ24" i="154"/>
  <c r="DA25" i="154"/>
  <c r="DB26" i="154"/>
  <c r="DE27" i="154"/>
  <c r="CZ28" i="154"/>
  <c r="CK29" i="154"/>
  <c r="DA29" i="154"/>
  <c r="CL30" i="154"/>
  <c r="DA30" i="154"/>
  <c r="CF31" i="154"/>
  <c r="CQ31" i="154"/>
  <c r="DB31" i="154"/>
  <c r="CE32" i="154"/>
  <c r="CM32" i="154"/>
  <c r="CU32" i="154"/>
  <c r="DE32" i="154"/>
  <c r="CF33" i="154"/>
  <c r="CN33" i="154"/>
  <c r="CV33" i="154"/>
  <c r="CG34" i="154"/>
  <c r="CO34" i="154"/>
  <c r="CW34" i="154"/>
  <c r="BZ35" i="154"/>
  <c r="CH35" i="154"/>
  <c r="CP35" i="154"/>
  <c r="CX35" i="154"/>
  <c r="CA36" i="154"/>
  <c r="CI36" i="154"/>
  <c r="CQ36" i="154"/>
  <c r="CY36" i="154"/>
  <c r="CB37" i="154"/>
  <c r="CJ37" i="154"/>
  <c r="CR37" i="154"/>
  <c r="CZ37" i="154"/>
  <c r="CC38" i="154"/>
  <c r="CK38" i="154"/>
  <c r="CS38" i="154"/>
  <c r="DA38" i="154"/>
  <c r="CD39" i="154"/>
  <c r="CL39" i="154"/>
  <c r="CT39" i="154"/>
  <c r="DB39" i="154"/>
  <c r="CE40" i="154"/>
  <c r="CM40" i="154"/>
  <c r="CU40" i="154"/>
  <c r="DE40" i="154"/>
  <c r="CF41" i="154"/>
  <c r="CN41" i="154"/>
  <c r="CV41" i="154"/>
  <c r="CG42" i="154"/>
  <c r="CO42" i="154"/>
  <c r="CW42" i="154"/>
  <c r="BZ43" i="154"/>
  <c r="CH43" i="154"/>
  <c r="CP43" i="154"/>
  <c r="CX43" i="154"/>
  <c r="CB9" i="154"/>
  <c r="CJ9" i="154"/>
  <c r="CR9" i="154"/>
  <c r="CN10" i="154"/>
  <c r="CO11" i="154"/>
  <c r="CP12" i="154"/>
  <c r="CQ13" i="154"/>
  <c r="CR14" i="154"/>
  <c r="CS15" i="154"/>
  <c r="CT16" i="154"/>
  <c r="CU17" i="154"/>
  <c r="CV18" i="154"/>
  <c r="CW19" i="154"/>
  <c r="CX20" i="154"/>
  <c r="CY21" i="154"/>
  <c r="CZ22" i="154"/>
  <c r="DA23" i="154"/>
  <c r="DB24" i="154"/>
  <c r="DE25" i="154"/>
  <c r="BZ28" i="154"/>
  <c r="DE28" i="154"/>
  <c r="CN29" i="154"/>
  <c r="CO30" i="154"/>
  <c r="DB30" i="154"/>
  <c r="CH31" i="154"/>
  <c r="CS31" i="154"/>
  <c r="DE31" i="154"/>
  <c r="CF32" i="154"/>
  <c r="CN32" i="154"/>
  <c r="CV32" i="154"/>
  <c r="CG33" i="154"/>
  <c r="CO33" i="154"/>
  <c r="CW33" i="154"/>
  <c r="BZ34" i="154"/>
  <c r="CH34" i="154"/>
  <c r="CP34" i="154"/>
  <c r="CX34" i="154"/>
  <c r="CA35" i="154"/>
  <c r="CI35" i="154"/>
  <c r="CQ35" i="154"/>
  <c r="CY35" i="154"/>
  <c r="CB36" i="154"/>
  <c r="CJ36" i="154"/>
  <c r="CR36" i="154"/>
  <c r="CZ36" i="154"/>
  <c r="CC37" i="154"/>
  <c r="CK37" i="154"/>
  <c r="CS37" i="154"/>
  <c r="DA37" i="154"/>
  <c r="CD38" i="154"/>
  <c r="CL38" i="154"/>
  <c r="CT38" i="154"/>
  <c r="DB38" i="154"/>
  <c r="CE39" i="154"/>
  <c r="CM39" i="154"/>
  <c r="CU39" i="154"/>
  <c r="DE39" i="154"/>
  <c r="CF40" i="154"/>
  <c r="CN40" i="154"/>
  <c r="CV40" i="154"/>
  <c r="CG41" i="154"/>
  <c r="CO41" i="154"/>
  <c r="CW41" i="154"/>
  <c r="BZ42" i="154"/>
  <c r="CH42" i="154"/>
  <c r="CP42" i="154"/>
  <c r="CX42" i="154"/>
  <c r="CA43" i="154"/>
  <c r="CI43" i="154"/>
  <c r="CQ43" i="154"/>
  <c r="CY43" i="154"/>
  <c r="CC9" i="154"/>
  <c r="CK9" i="154"/>
  <c r="CS9" i="154"/>
  <c r="DA9" i="154"/>
  <c r="CT10" i="154"/>
  <c r="CU11" i="154"/>
  <c r="CV12" i="154"/>
  <c r="CW13" i="154"/>
  <c r="CX14" i="154"/>
  <c r="CY15" i="154"/>
  <c r="CZ16" i="154"/>
  <c r="DA17" i="154"/>
  <c r="DB18" i="154"/>
  <c r="DE19" i="154"/>
  <c r="BZ22" i="154"/>
  <c r="CA23" i="154"/>
  <c r="CB24" i="154"/>
  <c r="CC25" i="154"/>
  <c r="CD26" i="154"/>
  <c r="CE27" i="154"/>
  <c r="CF28" i="154"/>
  <c r="CO29" i="154"/>
  <c r="BZ30" i="154"/>
  <c r="CP30" i="154"/>
  <c r="DE30" i="154"/>
  <c r="CI31" i="154"/>
  <c r="CT31" i="154"/>
  <c r="CG32" i="154"/>
  <c r="CO32" i="154"/>
  <c r="CW32" i="154"/>
  <c r="BZ33" i="154"/>
  <c r="CH33" i="154"/>
  <c r="CP33" i="154"/>
  <c r="CX33" i="154"/>
  <c r="CA34" i="154"/>
  <c r="CI34" i="154"/>
  <c r="CQ34" i="154"/>
  <c r="CY34" i="154"/>
  <c r="CB35" i="154"/>
  <c r="CJ35" i="154"/>
  <c r="CR35" i="154"/>
  <c r="CZ35" i="154"/>
  <c r="CC36" i="154"/>
  <c r="CK36" i="154"/>
  <c r="CS36" i="154"/>
  <c r="DA36" i="154"/>
  <c r="CD37" i="154"/>
  <c r="CL37" i="154"/>
  <c r="CT37" i="154"/>
  <c r="DB37" i="154"/>
  <c r="CE38" i="154"/>
  <c r="CM38" i="154"/>
  <c r="CU38" i="154"/>
  <c r="DE38" i="154"/>
  <c r="CF39" i="154"/>
  <c r="CN39" i="154"/>
  <c r="CV39" i="154"/>
  <c r="CG40" i="154"/>
  <c r="CO40" i="154"/>
  <c r="CW40" i="154"/>
  <c r="BZ41" i="154"/>
  <c r="CH41" i="154"/>
  <c r="CP41" i="154"/>
  <c r="CX41" i="154"/>
  <c r="CA42" i="154"/>
  <c r="CI42" i="154"/>
  <c r="CQ42" i="154"/>
  <c r="CY42" i="154"/>
  <c r="CB43" i="154"/>
  <c r="CJ43" i="154"/>
  <c r="CR43" i="154"/>
  <c r="CZ43" i="154"/>
  <c r="CD9" i="154"/>
  <c r="CL9" i="154"/>
  <c r="CT9" i="154"/>
  <c r="DB9" i="154"/>
  <c r="CV10" i="154"/>
  <c r="CW11" i="154"/>
  <c r="CX12" i="154"/>
  <c r="CY13" i="154"/>
  <c r="CZ14" i="154"/>
  <c r="DA15" i="154"/>
  <c r="DB16" i="154"/>
  <c r="DE17" i="154"/>
  <c r="BZ20" i="154"/>
  <c r="CA21" i="154"/>
  <c r="CB22" i="154"/>
  <c r="CC23" i="154"/>
  <c r="CD24" i="154"/>
  <c r="CE25" i="154"/>
  <c r="CF26" i="154"/>
  <c r="CG27" i="154"/>
  <c r="CH28" i="154"/>
  <c r="CA29" i="154"/>
  <c r="CQ29" i="154"/>
  <c r="CB30" i="154"/>
  <c r="CR30" i="154"/>
  <c r="BZ31" i="154"/>
  <c r="CK31" i="154"/>
  <c r="CU31" i="154"/>
  <c r="BZ32" i="154"/>
  <c r="CH32" i="154"/>
  <c r="CP32" i="154"/>
  <c r="CX32" i="154"/>
  <c r="CA33" i="154"/>
  <c r="CI33" i="154"/>
  <c r="CQ33" i="154"/>
  <c r="CY33" i="154"/>
  <c r="CB34" i="154"/>
  <c r="CJ34" i="154"/>
  <c r="CR34" i="154"/>
  <c r="CZ34" i="154"/>
  <c r="CC35" i="154"/>
  <c r="CK35" i="154"/>
  <c r="CS35" i="154"/>
  <c r="DA35" i="154"/>
  <c r="CD36" i="154"/>
  <c r="CL36" i="154"/>
  <c r="CT36" i="154"/>
  <c r="DB36" i="154"/>
  <c r="CE37" i="154"/>
  <c r="CM37" i="154"/>
  <c r="CU37" i="154"/>
  <c r="DE37" i="154"/>
  <c r="CF38" i="154"/>
  <c r="CN38" i="154"/>
  <c r="CV38" i="154"/>
  <c r="CG39" i="154"/>
  <c r="CO39" i="154"/>
  <c r="CW39" i="154"/>
  <c r="BZ40" i="154"/>
  <c r="CH40" i="154"/>
  <c r="CP40" i="154"/>
  <c r="CX40" i="154"/>
  <c r="CA41" i="154"/>
  <c r="CI41" i="154"/>
  <c r="CQ41" i="154"/>
  <c r="CY41" i="154"/>
  <c r="CB42" i="154"/>
  <c r="CJ42" i="154"/>
  <c r="CR42" i="154"/>
  <c r="CZ42" i="154"/>
  <c r="CC43" i="154"/>
  <c r="CK43" i="154"/>
  <c r="CS43" i="154"/>
  <c r="DA43" i="154"/>
  <c r="CE9" i="154"/>
  <c r="CM9" i="154"/>
  <c r="CU9" i="154"/>
  <c r="DE9" i="154"/>
  <c r="DB10" i="154"/>
  <c r="CA15" i="154"/>
  <c r="CE19" i="154"/>
  <c r="CI23" i="154"/>
  <c r="CM27" i="154"/>
  <c r="CD30" i="154"/>
  <c r="CV31" i="154"/>
  <c r="CY32" i="154"/>
  <c r="CZ33" i="154"/>
  <c r="DA34" i="154"/>
  <c r="DB35" i="154"/>
  <c r="DE36" i="154"/>
  <c r="BZ39" i="154"/>
  <c r="CA40" i="154"/>
  <c r="CB41" i="154"/>
  <c r="CC42" i="154"/>
  <c r="CD43" i="154"/>
  <c r="CF9" i="154"/>
  <c r="CX9" i="154"/>
  <c r="CC15" i="154"/>
  <c r="CG19" i="154"/>
  <c r="CK23" i="154"/>
  <c r="CO27" i="154"/>
  <c r="CG30" i="154"/>
  <c r="CX31" i="154"/>
  <c r="CZ32" i="154"/>
  <c r="DA33" i="154"/>
  <c r="DB34" i="154"/>
  <c r="DE35" i="154"/>
  <c r="BZ38" i="154"/>
  <c r="CA39" i="154"/>
  <c r="CB40" i="154"/>
  <c r="CC41" i="154"/>
  <c r="CD42" i="154"/>
  <c r="CE43" i="154"/>
  <c r="CG9" i="154"/>
  <c r="CY9" i="154"/>
  <c r="DE11" i="154"/>
  <c r="CB16" i="154"/>
  <c r="CF20" i="154"/>
  <c r="CJ24" i="154"/>
  <c r="CN28" i="154"/>
  <c r="CT30" i="154"/>
  <c r="CA32" i="154"/>
  <c r="CB33" i="154"/>
  <c r="CC34" i="154"/>
  <c r="CD35" i="154"/>
  <c r="CE36" i="154"/>
  <c r="CF37" i="154"/>
  <c r="CG38" i="154"/>
  <c r="CH39" i="154"/>
  <c r="CI40" i="154"/>
  <c r="CJ41" i="154"/>
  <c r="CK42" i="154"/>
  <c r="CL43" i="154"/>
  <c r="CI9" i="154"/>
  <c r="CZ9" i="154"/>
  <c r="BZ12" i="154"/>
  <c r="CD16" i="154"/>
  <c r="CH20" i="154"/>
  <c r="CL24" i="154"/>
  <c r="CP28" i="154"/>
  <c r="CW30" i="154"/>
  <c r="CB32" i="154"/>
  <c r="CC33" i="154"/>
  <c r="CD34" i="154"/>
  <c r="CE35" i="154"/>
  <c r="CF36" i="154"/>
  <c r="CG37" i="154"/>
  <c r="CH38" i="154"/>
  <c r="CI39" i="154"/>
  <c r="CJ40" i="154"/>
  <c r="CK41" i="154"/>
  <c r="CL42" i="154"/>
  <c r="CM43" i="154"/>
  <c r="CN9" i="154"/>
  <c r="CC17" i="154"/>
  <c r="CG21" i="154"/>
  <c r="CK25" i="154"/>
  <c r="CC29" i="154"/>
  <c r="CA31" i="154"/>
  <c r="CI32" i="154"/>
  <c r="CJ33" i="154"/>
  <c r="CK34" i="154"/>
  <c r="CL35" i="154"/>
  <c r="CM36" i="154"/>
  <c r="CN37" i="154"/>
  <c r="CO38" i="154"/>
  <c r="CP39" i="154"/>
  <c r="CQ40" i="154"/>
  <c r="CR41" i="154"/>
  <c r="CS42" i="154"/>
  <c r="CT43" i="154"/>
  <c r="CO9" i="154"/>
  <c r="CA13" i="154"/>
  <c r="CE17" i="154"/>
  <c r="CI21" i="154"/>
  <c r="CM25" i="154"/>
  <c r="CF29" i="154"/>
  <c r="CC31" i="154"/>
  <c r="CJ32" i="154"/>
  <c r="CK33" i="154"/>
  <c r="CL34" i="154"/>
  <c r="CM35" i="154"/>
  <c r="CN36" i="154"/>
  <c r="CO37" i="154"/>
  <c r="CP38" i="154"/>
  <c r="CQ39" i="154"/>
  <c r="CR40" i="154"/>
  <c r="CS41" i="154"/>
  <c r="CT42" i="154"/>
  <c r="CU43" i="154"/>
  <c r="CQ9" i="154"/>
  <c r="BZ14" i="154"/>
  <c r="CD18" i="154"/>
  <c r="CB14" i="154"/>
  <c r="CL31" i="154"/>
  <c r="CT35" i="154"/>
  <c r="CX39" i="154"/>
  <c r="DB43" i="154"/>
  <c r="CF18" i="154"/>
  <c r="CM31" i="154"/>
  <c r="CU35" i="154"/>
  <c r="CY39" i="154"/>
  <c r="DE43" i="154"/>
  <c r="CH22" i="154"/>
  <c r="CQ32" i="154"/>
  <c r="CU36" i="154"/>
  <c r="CY40" i="154"/>
  <c r="CV9" i="154"/>
  <c r="CJ22" i="154"/>
  <c r="CR32" i="154"/>
  <c r="CV36" i="154"/>
  <c r="CZ40" i="154"/>
  <c r="CW9" i="154"/>
  <c r="CL26" i="154"/>
  <c r="CR33" i="154"/>
  <c r="CV37" i="154"/>
  <c r="CZ41" i="154"/>
  <c r="CN26" i="154"/>
  <c r="CS33" i="154"/>
  <c r="CW37" i="154"/>
  <c r="DA41" i="154"/>
  <c r="CS29" i="154"/>
  <c r="DB42" i="154"/>
  <c r="CV29" i="154"/>
  <c r="CS34" i="154"/>
  <c r="CT34" i="154"/>
  <c r="CW38" i="154"/>
  <c r="CX38" i="154"/>
  <c r="DA42" i="154"/>
  <c r="AU10" i="154"/>
  <c r="BC10" i="154"/>
  <c r="BK10" i="154"/>
  <c r="BS10" i="154"/>
  <c r="AV11" i="154"/>
  <c r="BD11" i="154"/>
  <c r="BL11" i="154"/>
  <c r="BT11" i="154"/>
  <c r="AW12" i="154"/>
  <c r="BE12" i="154"/>
  <c r="BM12" i="154"/>
  <c r="AV10" i="154"/>
  <c r="BD10" i="154"/>
  <c r="BL10" i="154"/>
  <c r="BT10" i="154"/>
  <c r="AW11" i="154"/>
  <c r="BE11" i="154"/>
  <c r="BM11" i="154"/>
  <c r="BU11" i="154"/>
  <c r="AX12" i="154"/>
  <c r="AW10" i="154"/>
  <c r="BE10" i="154"/>
  <c r="BM10" i="154"/>
  <c r="BU10" i="154"/>
  <c r="AX11" i="154"/>
  <c r="BF11" i="154"/>
  <c r="BN11" i="154"/>
  <c r="BV11" i="154"/>
  <c r="AY12" i="154"/>
  <c r="AX10" i="154"/>
  <c r="BI10" i="154"/>
  <c r="BW10" i="154"/>
  <c r="BC11" i="154"/>
  <c r="BQ11" i="154"/>
  <c r="AZ12" i="154"/>
  <c r="BI12" i="154"/>
  <c r="BR12" i="154"/>
  <c r="AU13" i="154"/>
  <c r="BC13" i="154"/>
  <c r="BK13" i="154"/>
  <c r="BS13" i="154"/>
  <c r="AV14" i="154"/>
  <c r="BD14" i="154"/>
  <c r="BL14" i="154"/>
  <c r="BT14" i="154"/>
  <c r="AW15" i="154"/>
  <c r="BE15" i="154"/>
  <c r="BM15" i="154"/>
  <c r="BU15" i="154"/>
  <c r="AX16" i="154"/>
  <c r="BF16" i="154"/>
  <c r="BN16" i="154"/>
  <c r="BV16" i="154"/>
  <c r="AY17" i="154"/>
  <c r="BG17" i="154"/>
  <c r="BO17" i="154"/>
  <c r="AY10" i="154"/>
  <c r="BJ10" i="154"/>
  <c r="BG11" i="154"/>
  <c r="BR11" i="154"/>
  <c r="BA12" i="154"/>
  <c r="BJ12" i="154"/>
  <c r="BS12" i="154"/>
  <c r="AV13" i="154"/>
  <c r="BD13" i="154"/>
  <c r="BL13" i="154"/>
  <c r="BT13" i="154"/>
  <c r="AW14" i="154"/>
  <c r="BE14" i="154"/>
  <c r="BM14" i="154"/>
  <c r="BU14" i="154"/>
  <c r="AX15" i="154"/>
  <c r="BF15" i="154"/>
  <c r="BN15" i="154"/>
  <c r="BV15" i="154"/>
  <c r="AY16" i="154"/>
  <c r="BG16" i="154"/>
  <c r="BO16" i="154"/>
  <c r="BW16" i="154"/>
  <c r="AZ17" i="154"/>
  <c r="BH17" i="154"/>
  <c r="BP17" i="154"/>
  <c r="BA18" i="154"/>
  <c r="BI18" i="154"/>
  <c r="BQ18" i="154"/>
  <c r="AR19" i="154"/>
  <c r="BB19" i="154"/>
  <c r="BJ19" i="154"/>
  <c r="BR19" i="154"/>
  <c r="AU20" i="154"/>
  <c r="BC20" i="154"/>
  <c r="BK20" i="154"/>
  <c r="BS20" i="154"/>
  <c r="AV21" i="154"/>
  <c r="BD21" i="154"/>
  <c r="BL21" i="154"/>
  <c r="BT21" i="154"/>
  <c r="AW22" i="154"/>
  <c r="BE22" i="154"/>
  <c r="BM22" i="154"/>
  <c r="BU22" i="154"/>
  <c r="AX23" i="154"/>
  <c r="BF23" i="154"/>
  <c r="BN23" i="154"/>
  <c r="BV23" i="154"/>
  <c r="AY24" i="154"/>
  <c r="BG24" i="154"/>
  <c r="BO24" i="154"/>
  <c r="BW24" i="154"/>
  <c r="AZ25" i="154"/>
  <c r="BH25" i="154"/>
  <c r="BP25" i="154"/>
  <c r="BA26" i="154"/>
  <c r="BI26" i="154"/>
  <c r="BQ26" i="154"/>
  <c r="AR27" i="154"/>
  <c r="BB27" i="154"/>
  <c r="BJ27" i="154"/>
  <c r="AZ10" i="154"/>
  <c r="BN10" i="154"/>
  <c r="AR11" i="154"/>
  <c r="BH11" i="154"/>
  <c r="BS11" i="154"/>
  <c r="BB12" i="154"/>
  <c r="BK12" i="154"/>
  <c r="BT12" i="154"/>
  <c r="AW13" i="154"/>
  <c r="BE13" i="154"/>
  <c r="BM13" i="154"/>
  <c r="BU13" i="154"/>
  <c r="AX14" i="154"/>
  <c r="BF14" i="154"/>
  <c r="BN14" i="154"/>
  <c r="BV14" i="154"/>
  <c r="AY15" i="154"/>
  <c r="BG15" i="154"/>
  <c r="BO15" i="154"/>
  <c r="BW15" i="154"/>
  <c r="AZ16" i="154"/>
  <c r="BH16" i="154"/>
  <c r="BP16" i="154"/>
  <c r="BA17" i="154"/>
  <c r="BI17" i="154"/>
  <c r="BQ17" i="154"/>
  <c r="AR18" i="154"/>
  <c r="BB18" i="154"/>
  <c r="BJ18" i="154"/>
  <c r="BR18" i="154"/>
  <c r="AU19" i="154"/>
  <c r="BC19" i="154"/>
  <c r="BK19" i="154"/>
  <c r="BS19" i="154"/>
  <c r="AV20" i="154"/>
  <c r="BD20" i="154"/>
  <c r="BA10" i="154"/>
  <c r="BO10" i="154"/>
  <c r="AU11" i="154"/>
  <c r="BI11" i="154"/>
  <c r="BW11" i="154"/>
  <c r="BC12" i="154"/>
  <c r="BL12" i="154"/>
  <c r="BU12" i="154"/>
  <c r="AX13" i="154"/>
  <c r="BF13" i="154"/>
  <c r="BN13" i="154"/>
  <c r="BV13" i="154"/>
  <c r="AY14" i="154"/>
  <c r="BG14" i="154"/>
  <c r="BO14" i="154"/>
  <c r="BW14" i="154"/>
  <c r="AZ15" i="154"/>
  <c r="BH15" i="154"/>
  <c r="BP15" i="154"/>
  <c r="BA16" i="154"/>
  <c r="BI16" i="154"/>
  <c r="BQ16" i="154"/>
  <c r="AR17" i="154"/>
  <c r="BB17" i="154"/>
  <c r="BJ17" i="154"/>
  <c r="BR17" i="154"/>
  <c r="AU18" i="154"/>
  <c r="BC18" i="154"/>
  <c r="BK18" i="154"/>
  <c r="BS18" i="154"/>
  <c r="AV19" i="154"/>
  <c r="BD19" i="154"/>
  <c r="BL19" i="154"/>
  <c r="BT19" i="154"/>
  <c r="AW20" i="154"/>
  <c r="BE20" i="154"/>
  <c r="BM20" i="154"/>
  <c r="BU20" i="154"/>
  <c r="AX21" i="154"/>
  <c r="BF21" i="154"/>
  <c r="BN21" i="154"/>
  <c r="BV21" i="154"/>
  <c r="AY22" i="154"/>
  <c r="BG22" i="154"/>
  <c r="BO22" i="154"/>
  <c r="BW22" i="154"/>
  <c r="AZ23" i="154"/>
  <c r="BH23" i="154"/>
  <c r="BP23" i="154"/>
  <c r="BA24" i="154"/>
  <c r="BI24" i="154"/>
  <c r="BQ24" i="154"/>
  <c r="AR25" i="154"/>
  <c r="BB25" i="154"/>
  <c r="BB10" i="154"/>
  <c r="BP10" i="154"/>
  <c r="AY11" i="154"/>
  <c r="BJ11" i="154"/>
  <c r="BD12" i="154"/>
  <c r="BN12" i="154"/>
  <c r="BV12" i="154"/>
  <c r="AY13" i="154"/>
  <c r="BG13" i="154"/>
  <c r="BO13" i="154"/>
  <c r="BW13" i="154"/>
  <c r="AZ14" i="154"/>
  <c r="BH14" i="154"/>
  <c r="BP14" i="154"/>
  <c r="BA15" i="154"/>
  <c r="BI15" i="154"/>
  <c r="BQ15" i="154"/>
  <c r="AR16" i="154"/>
  <c r="BB16" i="154"/>
  <c r="BJ16" i="154"/>
  <c r="BR16" i="154"/>
  <c r="AU17" i="154"/>
  <c r="BC17" i="154"/>
  <c r="BK17" i="154"/>
  <c r="BS17" i="154"/>
  <c r="AV18" i="154"/>
  <c r="BD18" i="154"/>
  <c r="BL18" i="154"/>
  <c r="BT18" i="154"/>
  <c r="AW19" i="154"/>
  <c r="BE19" i="154"/>
  <c r="BM19" i="154"/>
  <c r="BU19" i="154"/>
  <c r="AX20" i="154"/>
  <c r="BF20" i="154"/>
  <c r="BN20" i="154"/>
  <c r="BV20" i="154"/>
  <c r="AY21" i="154"/>
  <c r="BG21" i="154"/>
  <c r="BO21" i="154"/>
  <c r="BW21" i="154"/>
  <c r="AZ22" i="154"/>
  <c r="BH22" i="154"/>
  <c r="BP22" i="154"/>
  <c r="BA23" i="154"/>
  <c r="BI23" i="154"/>
  <c r="BQ23" i="154"/>
  <c r="BF10" i="154"/>
  <c r="BQ10" i="154"/>
  <c r="AZ11" i="154"/>
  <c r="BK11" i="154"/>
  <c r="AR12" i="154"/>
  <c r="BF12" i="154"/>
  <c r="BO12" i="154"/>
  <c r="BW12" i="154"/>
  <c r="AZ13" i="154"/>
  <c r="BH13" i="154"/>
  <c r="BP13" i="154"/>
  <c r="BA14" i="154"/>
  <c r="BI14" i="154"/>
  <c r="BQ14" i="154"/>
  <c r="AR15" i="154"/>
  <c r="BB15" i="154"/>
  <c r="BJ15" i="154"/>
  <c r="BR15" i="154"/>
  <c r="AU16" i="154"/>
  <c r="BC16" i="154"/>
  <c r="BK16" i="154"/>
  <c r="BS16" i="154"/>
  <c r="AV17" i="154"/>
  <c r="BD17" i="154"/>
  <c r="BL17" i="154"/>
  <c r="BT17" i="154"/>
  <c r="AW18" i="154"/>
  <c r="BE18" i="154"/>
  <c r="BM18" i="154"/>
  <c r="BU18" i="154"/>
  <c r="AX19" i="154"/>
  <c r="BF19" i="154"/>
  <c r="BN19" i="154"/>
  <c r="BV19" i="154"/>
  <c r="AY20" i="154"/>
  <c r="BG20" i="154"/>
  <c r="BO20" i="154"/>
  <c r="BW20" i="154"/>
  <c r="AZ21" i="154"/>
  <c r="BH21" i="154"/>
  <c r="BP21" i="154"/>
  <c r="BA22" i="154"/>
  <c r="BI22" i="154"/>
  <c r="BQ22" i="154"/>
  <c r="AR23" i="154"/>
  <c r="BB23" i="154"/>
  <c r="BJ23" i="154"/>
  <c r="BR23" i="154"/>
  <c r="AU24" i="154"/>
  <c r="BC24" i="154"/>
  <c r="BK24" i="154"/>
  <c r="BS24" i="154"/>
  <c r="AV25" i="154"/>
  <c r="BD25" i="154"/>
  <c r="BL25" i="154"/>
  <c r="BT25" i="154"/>
  <c r="AW26" i="154"/>
  <c r="BE26" i="154"/>
  <c r="BM26" i="154"/>
  <c r="BU26" i="154"/>
  <c r="AX27" i="154"/>
  <c r="BF27" i="154"/>
  <c r="BN27" i="154"/>
  <c r="BR10" i="154"/>
  <c r="BG12" i="154"/>
  <c r="BI13" i="154"/>
  <c r="BJ14" i="154"/>
  <c r="BK15" i="154"/>
  <c r="BL16" i="154"/>
  <c r="BM17" i="154"/>
  <c r="BF18" i="154"/>
  <c r="BP19" i="154"/>
  <c r="BH20" i="154"/>
  <c r="BI21" i="154"/>
  <c r="AR22" i="154"/>
  <c r="BJ22" i="154"/>
  <c r="AU23" i="154"/>
  <c r="BK23" i="154"/>
  <c r="AR24" i="154"/>
  <c r="BF24" i="154"/>
  <c r="BT24" i="154"/>
  <c r="BA25" i="154"/>
  <c r="BM25" i="154"/>
  <c r="BW25" i="154"/>
  <c r="BC26" i="154"/>
  <c r="BN26" i="154"/>
  <c r="BD27" i="154"/>
  <c r="BO27" i="154"/>
  <c r="BW27" i="154"/>
  <c r="AZ28" i="154"/>
  <c r="BH28" i="154"/>
  <c r="BP28" i="154"/>
  <c r="BA29" i="154"/>
  <c r="BI29" i="154"/>
  <c r="BQ29" i="154"/>
  <c r="AR30" i="154"/>
  <c r="BB30" i="154"/>
  <c r="BJ30" i="154"/>
  <c r="BR30" i="154"/>
  <c r="AU31" i="154"/>
  <c r="BC31" i="154"/>
  <c r="BK31" i="154"/>
  <c r="BS31" i="154"/>
  <c r="AV32" i="154"/>
  <c r="BD32" i="154"/>
  <c r="BL32" i="154"/>
  <c r="BT32" i="154"/>
  <c r="AW33" i="154"/>
  <c r="BE33" i="154"/>
  <c r="BM33" i="154"/>
  <c r="BU33" i="154"/>
  <c r="AX34" i="154"/>
  <c r="BF34" i="154"/>
  <c r="BN34" i="154"/>
  <c r="BV34" i="154"/>
  <c r="AY35" i="154"/>
  <c r="BG35" i="154"/>
  <c r="BO35" i="154"/>
  <c r="BV10" i="154"/>
  <c r="BH12" i="154"/>
  <c r="BJ13" i="154"/>
  <c r="BK14" i="154"/>
  <c r="BL15" i="154"/>
  <c r="BM16" i="154"/>
  <c r="BN17" i="154"/>
  <c r="BG18" i="154"/>
  <c r="AY19" i="154"/>
  <c r="BQ19" i="154"/>
  <c r="BI20" i="154"/>
  <c r="AR21" i="154"/>
  <c r="BJ21" i="154"/>
  <c r="AU22" i="154"/>
  <c r="BK22" i="154"/>
  <c r="AV23" i="154"/>
  <c r="BL23" i="154"/>
  <c r="AV24" i="154"/>
  <c r="BH24" i="154"/>
  <c r="BU24" i="154"/>
  <c r="BC25" i="154"/>
  <c r="BN25" i="154"/>
  <c r="AR26" i="154"/>
  <c r="BD26" i="154"/>
  <c r="BO26" i="154"/>
  <c r="AU27" i="154"/>
  <c r="BE27" i="154"/>
  <c r="BP27" i="154"/>
  <c r="BA28" i="154"/>
  <c r="BI28" i="154"/>
  <c r="BQ28" i="154"/>
  <c r="AR29" i="154"/>
  <c r="BB29" i="154"/>
  <c r="BJ29" i="154"/>
  <c r="BR29" i="154"/>
  <c r="AU30" i="154"/>
  <c r="BC30" i="154"/>
  <c r="BK30" i="154"/>
  <c r="BS30" i="154"/>
  <c r="AV31" i="154"/>
  <c r="BD31" i="154"/>
  <c r="BL31" i="154"/>
  <c r="BT31" i="154"/>
  <c r="AW32" i="154"/>
  <c r="BE32" i="154"/>
  <c r="BM32" i="154"/>
  <c r="BU32" i="154"/>
  <c r="AX33" i="154"/>
  <c r="BF33" i="154"/>
  <c r="BN33" i="154"/>
  <c r="BV33" i="154"/>
  <c r="AY34" i="154"/>
  <c r="BG34" i="154"/>
  <c r="BO34" i="154"/>
  <c r="BW34" i="154"/>
  <c r="AZ35" i="154"/>
  <c r="BH35" i="154"/>
  <c r="BP35" i="154"/>
  <c r="BA11" i="154"/>
  <c r="BP12" i="154"/>
  <c r="BQ13" i="154"/>
  <c r="BR14" i="154"/>
  <c r="BS15" i="154"/>
  <c r="BT16" i="154"/>
  <c r="BU17" i="154"/>
  <c r="BH18" i="154"/>
  <c r="AZ19" i="154"/>
  <c r="BW19" i="154"/>
  <c r="BJ20" i="154"/>
  <c r="AU21" i="154"/>
  <c r="BK21" i="154"/>
  <c r="AV22" i="154"/>
  <c r="BL22" i="154"/>
  <c r="AW23" i="154"/>
  <c r="BM23" i="154"/>
  <c r="AW24" i="154"/>
  <c r="BJ24" i="154"/>
  <c r="BV24" i="154"/>
  <c r="BE25" i="154"/>
  <c r="BO25" i="154"/>
  <c r="AU26" i="154"/>
  <c r="BF26" i="154"/>
  <c r="BP26" i="154"/>
  <c r="AV27" i="154"/>
  <c r="BG27" i="154"/>
  <c r="BQ27" i="154"/>
  <c r="AR28" i="154"/>
  <c r="BB28" i="154"/>
  <c r="BJ28" i="154"/>
  <c r="BR28" i="154"/>
  <c r="AU29" i="154"/>
  <c r="BC29" i="154"/>
  <c r="BK29" i="154"/>
  <c r="BS29" i="154"/>
  <c r="AV30" i="154"/>
  <c r="BD30" i="154"/>
  <c r="BL30" i="154"/>
  <c r="BT30" i="154"/>
  <c r="AW31" i="154"/>
  <c r="BE31" i="154"/>
  <c r="BM31" i="154"/>
  <c r="BU31" i="154"/>
  <c r="AX32" i="154"/>
  <c r="BF32" i="154"/>
  <c r="BN32" i="154"/>
  <c r="BV32" i="154"/>
  <c r="AY33" i="154"/>
  <c r="BG33" i="154"/>
  <c r="BO33" i="154"/>
  <c r="BW33" i="154"/>
  <c r="AZ34" i="154"/>
  <c r="BH34" i="154"/>
  <c r="BP34" i="154"/>
  <c r="BA35" i="154"/>
  <c r="BI35" i="154"/>
  <c r="BQ35" i="154"/>
  <c r="AR36" i="154"/>
  <c r="BB36" i="154"/>
  <c r="BJ36" i="154"/>
  <c r="BR36" i="154"/>
  <c r="AU37" i="154"/>
  <c r="BC37" i="154"/>
  <c r="BK37" i="154"/>
  <c r="BS37" i="154"/>
  <c r="AV38" i="154"/>
  <c r="BD38" i="154"/>
  <c r="BL38" i="154"/>
  <c r="BT38" i="154"/>
  <c r="AW39" i="154"/>
  <c r="BE39" i="154"/>
  <c r="BM39" i="154"/>
  <c r="BU39" i="154"/>
  <c r="AX40" i="154"/>
  <c r="BF40" i="154"/>
  <c r="BN40" i="154"/>
  <c r="BV40" i="154"/>
  <c r="AY41" i="154"/>
  <c r="BB11" i="154"/>
  <c r="BQ12" i="154"/>
  <c r="BR13" i="154"/>
  <c r="BS14" i="154"/>
  <c r="BT15" i="154"/>
  <c r="BU16" i="154"/>
  <c r="BV17" i="154"/>
  <c r="BN18" i="154"/>
  <c r="BA19" i="154"/>
  <c r="BL20" i="154"/>
  <c r="AW21" i="154"/>
  <c r="BM21" i="154"/>
  <c r="AX22" i="154"/>
  <c r="BN22" i="154"/>
  <c r="AY23" i="154"/>
  <c r="BO23" i="154"/>
  <c r="AX24" i="154"/>
  <c r="BL24" i="154"/>
  <c r="BF25" i="154"/>
  <c r="BQ25" i="154"/>
  <c r="AV26" i="154"/>
  <c r="BG26" i="154"/>
  <c r="BR26" i="154"/>
  <c r="AW27" i="154"/>
  <c r="BH27" i="154"/>
  <c r="BR27" i="154"/>
  <c r="AU28" i="154"/>
  <c r="BC28" i="154"/>
  <c r="BK28" i="154"/>
  <c r="BS28" i="154"/>
  <c r="AV29" i="154"/>
  <c r="BD29" i="154"/>
  <c r="BL29" i="154"/>
  <c r="BT29" i="154"/>
  <c r="AW30" i="154"/>
  <c r="BE30" i="154"/>
  <c r="BM30" i="154"/>
  <c r="BU30" i="154"/>
  <c r="AX31" i="154"/>
  <c r="BF31" i="154"/>
  <c r="BN31" i="154"/>
  <c r="BV31" i="154"/>
  <c r="AY32" i="154"/>
  <c r="BG32" i="154"/>
  <c r="BO32" i="154"/>
  <c r="BW32" i="154"/>
  <c r="AZ33" i="154"/>
  <c r="BH33" i="154"/>
  <c r="BP33" i="154"/>
  <c r="BA34" i="154"/>
  <c r="BI34" i="154"/>
  <c r="BQ34" i="154"/>
  <c r="AR35" i="154"/>
  <c r="BB35" i="154"/>
  <c r="BJ35" i="154"/>
  <c r="BR35" i="154"/>
  <c r="AU36" i="154"/>
  <c r="BC36" i="154"/>
  <c r="BK36" i="154"/>
  <c r="BS36" i="154"/>
  <c r="AV37" i="154"/>
  <c r="BD37" i="154"/>
  <c r="BL37" i="154"/>
  <c r="BT37" i="154"/>
  <c r="AW38" i="154"/>
  <c r="BE38" i="154"/>
  <c r="BM38" i="154"/>
  <c r="BU38" i="154"/>
  <c r="AX39" i="154"/>
  <c r="BF39" i="154"/>
  <c r="BN39" i="154"/>
  <c r="BV39" i="154"/>
  <c r="AY40" i="154"/>
  <c r="BG40" i="154"/>
  <c r="BO40" i="154"/>
  <c r="BW40" i="154"/>
  <c r="AZ41" i="154"/>
  <c r="BH41" i="154"/>
  <c r="BP41" i="154"/>
  <c r="BO11" i="154"/>
  <c r="AR14" i="154"/>
  <c r="AU15" i="154"/>
  <c r="AV16" i="154"/>
  <c r="AW17" i="154"/>
  <c r="BW17" i="154"/>
  <c r="BO18" i="154"/>
  <c r="BG19" i="154"/>
  <c r="AR20" i="154"/>
  <c r="BP20" i="154"/>
  <c r="BA21" i="154"/>
  <c r="BQ21" i="154"/>
  <c r="BB22" i="154"/>
  <c r="BR22" i="154"/>
  <c r="BC23" i="154"/>
  <c r="BS23" i="154"/>
  <c r="AZ24" i="154"/>
  <c r="BM24" i="154"/>
  <c r="AU25" i="154"/>
  <c r="BG25" i="154"/>
  <c r="BR25" i="154"/>
  <c r="AX26" i="154"/>
  <c r="BH26" i="154"/>
  <c r="BS26" i="154"/>
  <c r="AY27" i="154"/>
  <c r="BI27" i="154"/>
  <c r="BS27" i="154"/>
  <c r="AV28" i="154"/>
  <c r="BD28" i="154"/>
  <c r="BL28" i="154"/>
  <c r="BT28" i="154"/>
  <c r="AW29" i="154"/>
  <c r="BE29" i="154"/>
  <c r="BM29" i="154"/>
  <c r="BU29" i="154"/>
  <c r="AX30" i="154"/>
  <c r="BF30" i="154"/>
  <c r="BN30" i="154"/>
  <c r="BV30" i="154"/>
  <c r="AY31" i="154"/>
  <c r="BG31" i="154"/>
  <c r="BO31" i="154"/>
  <c r="BW31" i="154"/>
  <c r="AZ32" i="154"/>
  <c r="BH32" i="154"/>
  <c r="BP32" i="154"/>
  <c r="BA33" i="154"/>
  <c r="BI33" i="154"/>
  <c r="BQ33" i="154"/>
  <c r="AR34" i="154"/>
  <c r="BB34" i="154"/>
  <c r="BJ34" i="154"/>
  <c r="BR34" i="154"/>
  <c r="AU35" i="154"/>
  <c r="BC35" i="154"/>
  <c r="BK35" i="154"/>
  <c r="BS35" i="154"/>
  <c r="AV36" i="154"/>
  <c r="BD36" i="154"/>
  <c r="BL36" i="154"/>
  <c r="BT36" i="154"/>
  <c r="AW37" i="154"/>
  <c r="BE37" i="154"/>
  <c r="BM37" i="154"/>
  <c r="BU37" i="154"/>
  <c r="AX38" i="154"/>
  <c r="BF38" i="154"/>
  <c r="BN38" i="154"/>
  <c r="BV38" i="154"/>
  <c r="AY39" i="154"/>
  <c r="BG39" i="154"/>
  <c r="BO39" i="154"/>
  <c r="BW39" i="154"/>
  <c r="AZ40" i="154"/>
  <c r="BH40" i="154"/>
  <c r="BP40" i="154"/>
  <c r="BA41" i="154"/>
  <c r="BI41" i="154"/>
  <c r="BQ41" i="154"/>
  <c r="AR10" i="154"/>
  <c r="BP11" i="154"/>
  <c r="AR13" i="154"/>
  <c r="AU14" i="154"/>
  <c r="AV15" i="154"/>
  <c r="AW16" i="154"/>
  <c r="AX17" i="154"/>
  <c r="AX18" i="154"/>
  <c r="BP18" i="154"/>
  <c r="BH19" i="154"/>
  <c r="AZ20" i="154"/>
  <c r="BQ20" i="154"/>
  <c r="BB21" i="154"/>
  <c r="BR21" i="154"/>
  <c r="BC22" i="154"/>
  <c r="BS22" i="154"/>
  <c r="BD23" i="154"/>
  <c r="BT23" i="154"/>
  <c r="BB24" i="154"/>
  <c r="BN24" i="154"/>
  <c r="AW25" i="154"/>
  <c r="BI25" i="154"/>
  <c r="BS25" i="154"/>
  <c r="AY26" i="154"/>
  <c r="BJ26" i="154"/>
  <c r="BT26" i="154"/>
  <c r="AZ27" i="154"/>
  <c r="BK27" i="154"/>
  <c r="BT27" i="154"/>
  <c r="AW28" i="154"/>
  <c r="BE28" i="154"/>
  <c r="BM28" i="154"/>
  <c r="BU28" i="154"/>
  <c r="AX29" i="154"/>
  <c r="BF29" i="154"/>
  <c r="BN29" i="154"/>
  <c r="BV29" i="154"/>
  <c r="AY30" i="154"/>
  <c r="BG30" i="154"/>
  <c r="BO30" i="154"/>
  <c r="BW30" i="154"/>
  <c r="AZ31" i="154"/>
  <c r="BH31" i="154"/>
  <c r="BP31" i="154"/>
  <c r="BA32" i="154"/>
  <c r="BI32" i="154"/>
  <c r="BQ32" i="154"/>
  <c r="AR33" i="154"/>
  <c r="BB33" i="154"/>
  <c r="BJ33" i="154"/>
  <c r="BR33" i="154"/>
  <c r="AU34" i="154"/>
  <c r="BC34" i="154"/>
  <c r="BK34" i="154"/>
  <c r="BS34" i="154"/>
  <c r="AV35" i="154"/>
  <c r="BD35" i="154"/>
  <c r="BL35" i="154"/>
  <c r="BT35" i="154"/>
  <c r="AW36" i="154"/>
  <c r="BE36" i="154"/>
  <c r="BM36" i="154"/>
  <c r="BU36" i="154"/>
  <c r="AX37" i="154"/>
  <c r="BF37" i="154"/>
  <c r="BN37" i="154"/>
  <c r="BV37" i="154"/>
  <c r="AY38" i="154"/>
  <c r="BG38" i="154"/>
  <c r="BO38" i="154"/>
  <c r="BW38" i="154"/>
  <c r="AZ39" i="154"/>
  <c r="BH39" i="154"/>
  <c r="BP39" i="154"/>
  <c r="BA40" i="154"/>
  <c r="BI40" i="154"/>
  <c r="BQ40" i="154"/>
  <c r="AR41" i="154"/>
  <c r="BB41" i="154"/>
  <c r="BJ41" i="154"/>
  <c r="BR41" i="154"/>
  <c r="BG10" i="154"/>
  <c r="BC15" i="154"/>
  <c r="BV18" i="154"/>
  <c r="BC21" i="154"/>
  <c r="BE23" i="154"/>
  <c r="AX25" i="154"/>
  <c r="BK26" i="154"/>
  <c r="BU27" i="154"/>
  <c r="BV28" i="154"/>
  <c r="BW29" i="154"/>
  <c r="AR32" i="154"/>
  <c r="AU33" i="154"/>
  <c r="AV34" i="154"/>
  <c r="AW35" i="154"/>
  <c r="BW35" i="154"/>
  <c r="BH36" i="154"/>
  <c r="BI37" i="154"/>
  <c r="AR38" i="154"/>
  <c r="BJ38" i="154"/>
  <c r="AU39" i="154"/>
  <c r="BK39" i="154"/>
  <c r="AV40" i="154"/>
  <c r="BL40" i="154"/>
  <c r="AW41" i="154"/>
  <c r="BL41" i="154"/>
  <c r="BW41" i="154"/>
  <c r="BA42" i="154"/>
  <c r="BI42" i="154"/>
  <c r="BQ42" i="154"/>
  <c r="AR43" i="154"/>
  <c r="BB43" i="154"/>
  <c r="BJ43" i="154"/>
  <c r="BR43" i="154"/>
  <c r="AV9" i="154"/>
  <c r="BD9" i="154"/>
  <c r="BL9" i="154"/>
  <c r="BT9" i="154"/>
  <c r="BE21" i="154"/>
  <c r="AR31" i="154"/>
  <c r="AV33" i="154"/>
  <c r="AX35" i="154"/>
  <c r="BI36" i="154"/>
  <c r="AR37" i="154"/>
  <c r="AU38" i="154"/>
  <c r="AV39" i="154"/>
  <c r="BL39" i="154"/>
  <c r="BM40" i="154"/>
  <c r="AX41" i="154"/>
  <c r="AR42" i="154"/>
  <c r="BB42" i="154"/>
  <c r="BR42" i="154"/>
  <c r="AU43" i="154"/>
  <c r="BK43" i="154"/>
  <c r="BS43" i="154"/>
  <c r="BE9" i="154"/>
  <c r="BU9" i="154"/>
  <c r="BM27" i="154"/>
  <c r="BP29" i="154"/>
  <c r="BH10" i="154"/>
  <c r="BD15" i="154"/>
  <c r="BW18" i="154"/>
  <c r="BG23" i="154"/>
  <c r="AY25" i="154"/>
  <c r="BL26" i="154"/>
  <c r="BV27" i="154"/>
  <c r="BW28" i="154"/>
  <c r="AU32" i="154"/>
  <c r="AW34" i="154"/>
  <c r="BJ37" i="154"/>
  <c r="BK38" i="154"/>
  <c r="AW40" i="154"/>
  <c r="BM41" i="154"/>
  <c r="BJ42" i="154"/>
  <c r="BC43" i="154"/>
  <c r="AW9" i="154"/>
  <c r="BM9" i="154"/>
  <c r="BT20" i="154"/>
  <c r="BQ30" i="154"/>
  <c r="AU12" i="154"/>
  <c r="BD16" i="154"/>
  <c r="BI19" i="154"/>
  <c r="BS21" i="154"/>
  <c r="BU23" i="154"/>
  <c r="BJ25" i="154"/>
  <c r="BV26" i="154"/>
  <c r="AX28" i="154"/>
  <c r="AY29" i="154"/>
  <c r="AZ30" i="154"/>
  <c r="BA31" i="154"/>
  <c r="BB32" i="154"/>
  <c r="BC33" i="154"/>
  <c r="BD34" i="154"/>
  <c r="BE35" i="154"/>
  <c r="AX36" i="154"/>
  <c r="BN36" i="154"/>
  <c r="AY37" i="154"/>
  <c r="BO37" i="154"/>
  <c r="AZ38" i="154"/>
  <c r="BP38" i="154"/>
  <c r="BA39" i="154"/>
  <c r="BQ39" i="154"/>
  <c r="BB40" i="154"/>
  <c r="BR40" i="154"/>
  <c r="BC41" i="154"/>
  <c r="BN41" i="154"/>
  <c r="AU42" i="154"/>
  <c r="BC42" i="154"/>
  <c r="BK42" i="154"/>
  <c r="BS42" i="154"/>
  <c r="AV43" i="154"/>
  <c r="BD43" i="154"/>
  <c r="BL43" i="154"/>
  <c r="BT43" i="154"/>
  <c r="AX9" i="154"/>
  <c r="BF9" i="154"/>
  <c r="BN9" i="154"/>
  <c r="BV9" i="154"/>
  <c r="BC32" i="154"/>
  <c r="BO36" i="154"/>
  <c r="BP37" i="154"/>
  <c r="BQ38" i="154"/>
  <c r="BR39" i="154"/>
  <c r="BS40" i="154"/>
  <c r="BO41" i="154"/>
  <c r="BD42" i="154"/>
  <c r="BT42" i="154"/>
  <c r="BM43" i="154"/>
  <c r="AY9" i="154"/>
  <c r="BO9" i="154"/>
  <c r="BV22" i="154"/>
  <c r="AV12" i="154"/>
  <c r="BE16" i="154"/>
  <c r="BO19" i="154"/>
  <c r="BU21" i="154"/>
  <c r="BW23" i="154"/>
  <c r="BK25" i="154"/>
  <c r="BW26" i="154"/>
  <c r="AY28" i="154"/>
  <c r="AZ29" i="154"/>
  <c r="BA30" i="154"/>
  <c r="BB31" i="154"/>
  <c r="BD33" i="154"/>
  <c r="BE34" i="154"/>
  <c r="BF35" i="154"/>
  <c r="AY36" i="154"/>
  <c r="AZ37" i="154"/>
  <c r="BA38" i="154"/>
  <c r="BB39" i="154"/>
  <c r="BC40" i="154"/>
  <c r="BD41" i="154"/>
  <c r="AV42" i="154"/>
  <c r="BL42" i="154"/>
  <c r="AW43" i="154"/>
  <c r="BE43" i="154"/>
  <c r="BU43" i="154"/>
  <c r="BG9" i="154"/>
  <c r="BW9" i="154"/>
  <c r="BC14" i="154"/>
  <c r="BS32" i="154"/>
  <c r="BA13" i="154"/>
  <c r="BE17" i="154"/>
  <c r="BA20" i="154"/>
  <c r="BD22" i="154"/>
  <c r="BD24" i="154"/>
  <c r="BU25" i="154"/>
  <c r="BA27" i="154"/>
  <c r="BF28" i="154"/>
  <c r="BG29" i="154"/>
  <c r="BH30" i="154"/>
  <c r="BI31" i="154"/>
  <c r="BJ32" i="154"/>
  <c r="BK33" i="154"/>
  <c r="BL34" i="154"/>
  <c r="BM35" i="154"/>
  <c r="AZ36" i="154"/>
  <c r="BP36" i="154"/>
  <c r="BA37" i="154"/>
  <c r="BQ37" i="154"/>
  <c r="BB38" i="154"/>
  <c r="BR38" i="154"/>
  <c r="BC39" i="154"/>
  <c r="BS39" i="154"/>
  <c r="BD40" i="154"/>
  <c r="BT40" i="154"/>
  <c r="BE41" i="154"/>
  <c r="BS41" i="154"/>
  <c r="AW42" i="154"/>
  <c r="BE42" i="154"/>
  <c r="BM42" i="154"/>
  <c r="BU42" i="154"/>
  <c r="AX43" i="154"/>
  <c r="BF43" i="154"/>
  <c r="BN43" i="154"/>
  <c r="BV43" i="154"/>
  <c r="AZ9" i="154"/>
  <c r="BH9" i="154"/>
  <c r="BP9" i="154"/>
  <c r="BB14" i="154"/>
  <c r="AZ26" i="154"/>
  <c r="BO29" i="154"/>
  <c r="BQ31" i="154"/>
  <c r="BS33" i="154"/>
  <c r="BU35" i="154"/>
  <c r="BV36" i="154"/>
  <c r="BW37" i="154"/>
  <c r="AR40" i="154"/>
  <c r="BG41" i="154"/>
  <c r="BP43" i="154"/>
  <c r="BJ9" i="154"/>
  <c r="BR24" i="154"/>
  <c r="BR31" i="154"/>
  <c r="BB13" i="154"/>
  <c r="BF17" i="154"/>
  <c r="BB20" i="154"/>
  <c r="BF22" i="154"/>
  <c r="BE24" i="154"/>
  <c r="BV25" i="154"/>
  <c r="BC27" i="154"/>
  <c r="BG28" i="154"/>
  <c r="BH29" i="154"/>
  <c r="BI30" i="154"/>
  <c r="BJ31" i="154"/>
  <c r="BK32" i="154"/>
  <c r="BL33" i="154"/>
  <c r="BM34" i="154"/>
  <c r="BN35" i="154"/>
  <c r="BA36" i="154"/>
  <c r="BQ36" i="154"/>
  <c r="BB37" i="154"/>
  <c r="BR37" i="154"/>
  <c r="BC38" i="154"/>
  <c r="BS38" i="154"/>
  <c r="BD39" i="154"/>
  <c r="BT39" i="154"/>
  <c r="BE40" i="154"/>
  <c r="BU40" i="154"/>
  <c r="BF41" i="154"/>
  <c r="BT41" i="154"/>
  <c r="AX42" i="154"/>
  <c r="BF42" i="154"/>
  <c r="BN42" i="154"/>
  <c r="BV42" i="154"/>
  <c r="AY43" i="154"/>
  <c r="BG43" i="154"/>
  <c r="BO43" i="154"/>
  <c r="BW43" i="154"/>
  <c r="BA9" i="154"/>
  <c r="BI9" i="154"/>
  <c r="BQ9" i="154"/>
  <c r="AY18" i="154"/>
  <c r="BR20" i="154"/>
  <c r="BT22" i="154"/>
  <c r="BP24" i="154"/>
  <c r="BL27" i="154"/>
  <c r="BN28" i="154"/>
  <c r="BP30" i="154"/>
  <c r="BR32" i="154"/>
  <c r="BT34" i="154"/>
  <c r="BF36" i="154"/>
  <c r="BG37" i="154"/>
  <c r="BH38" i="154"/>
  <c r="BI39" i="154"/>
  <c r="BJ40" i="154"/>
  <c r="AU41" i="154"/>
  <c r="BU41" i="154"/>
  <c r="AY42" i="154"/>
  <c r="BG42" i="154"/>
  <c r="BO42" i="154"/>
  <c r="BW42" i="154"/>
  <c r="AZ43" i="154"/>
  <c r="BH43" i="154"/>
  <c r="AR9" i="154"/>
  <c r="BB9" i="154"/>
  <c r="BR9" i="154"/>
  <c r="AZ18" i="154"/>
  <c r="BB26" i="154"/>
  <c r="BO28" i="154"/>
  <c r="BT33" i="154"/>
  <c r="BU34" i="154"/>
  <c r="BJ39" i="154"/>
  <c r="BP42" i="154"/>
  <c r="BS9" i="154"/>
  <c r="BV35" i="154"/>
  <c r="AU40" i="154"/>
  <c r="BG36" i="154"/>
  <c r="BA43" i="154"/>
  <c r="BI38" i="154"/>
  <c r="AZ42" i="154"/>
  <c r="BK9" i="154"/>
  <c r="BK40" i="154"/>
  <c r="BH42" i="154"/>
  <c r="BW36" i="154"/>
  <c r="AV41" i="154"/>
  <c r="BI43" i="154"/>
  <c r="AR39" i="154"/>
  <c r="BH37" i="154"/>
  <c r="BK41" i="154"/>
  <c r="BQ43" i="154"/>
  <c r="AU9" i="154"/>
  <c r="BC9" i="154"/>
  <c r="BV41" i="154"/>
  <c r="BA4" i="154" l="1"/>
  <c r="CX4" i="154"/>
  <c r="Y4" i="154"/>
  <c r="AB4" i="154"/>
  <c r="DE4" i="154"/>
  <c r="BR4" i="154"/>
  <c r="CD4" i="154"/>
  <c r="CC4" i="154"/>
  <c r="AI4" i="154"/>
  <c r="BE4" i="154"/>
  <c r="CV4" i="154"/>
  <c r="CF4" i="154"/>
  <c r="AF4" i="154"/>
  <c r="Q4" i="154"/>
  <c r="AE4" i="154"/>
  <c r="O4" i="154"/>
  <c r="W4" i="154"/>
  <c r="AL4" i="154"/>
  <c r="T4" i="154"/>
  <c r="AM4" i="154"/>
  <c r="AA4" i="154"/>
  <c r="BP4" i="154"/>
  <c r="BW4" i="154"/>
  <c r="BV4" i="154"/>
  <c r="BT4" i="154"/>
  <c r="CQ4" i="154"/>
  <c r="CZ4" i="154"/>
  <c r="S4" i="154"/>
  <c r="BC4" i="154"/>
  <c r="BH4" i="154"/>
  <c r="BG4" i="154"/>
  <c r="BN4" i="154"/>
  <c r="BM4" i="154"/>
  <c r="BL4" i="154"/>
  <c r="CI4" i="154"/>
  <c r="V4" i="154"/>
  <c r="N4" i="154"/>
  <c r="AC4" i="154"/>
  <c r="AU4" i="154"/>
  <c r="AZ4" i="154"/>
  <c r="BF4" i="154"/>
  <c r="AW4" i="154"/>
  <c r="BD4" i="154"/>
  <c r="CW4" i="154"/>
  <c r="CU4" i="154"/>
  <c r="Z4" i="154"/>
  <c r="AN4" i="154"/>
  <c r="AH4" i="154"/>
  <c r="AK4" i="154"/>
  <c r="K4" i="154"/>
  <c r="AD4" i="154"/>
  <c r="AX4" i="154"/>
  <c r="AV4" i="154"/>
  <c r="CO4" i="154"/>
  <c r="CM4" i="154"/>
  <c r="DB4" i="154"/>
  <c r="DA4" i="154"/>
  <c r="CR4" i="154"/>
  <c r="CP4" i="154"/>
  <c r="BS4" i="154"/>
  <c r="BK4" i="154"/>
  <c r="BB4" i="154"/>
  <c r="BQ4" i="154"/>
  <c r="BJ4" i="154"/>
  <c r="BO4" i="154"/>
  <c r="CY4" i="154"/>
  <c r="CE4" i="154"/>
  <c r="CT4" i="154"/>
  <c r="CS4" i="154"/>
  <c r="CJ4" i="154"/>
  <c r="CA4" i="154"/>
  <c r="CH4" i="154"/>
  <c r="P4" i="154"/>
  <c r="R4" i="154"/>
  <c r="AO4" i="154"/>
  <c r="U4" i="154"/>
  <c r="AR4" i="154"/>
  <c r="BI4" i="154"/>
  <c r="AY4" i="154"/>
  <c r="BU4" i="154"/>
  <c r="CN4" i="154"/>
  <c r="CG4" i="154"/>
  <c r="CL4" i="154"/>
  <c r="CK4" i="154"/>
  <c r="CB4" i="154"/>
  <c r="BZ4" i="154"/>
  <c r="X4" i="154"/>
  <c r="AG4" i="154"/>
  <c r="AJ4" i="154"/>
  <c r="I12" i="154"/>
  <c r="I20" i="154"/>
  <c r="I28" i="154"/>
  <c r="I9" i="154"/>
  <c r="I11" i="154"/>
  <c r="I19" i="154"/>
  <c r="I27" i="154"/>
  <c r="I10" i="154"/>
  <c r="I18" i="154"/>
  <c r="I26" i="154"/>
  <c r="I16" i="154"/>
  <c r="I24" i="154"/>
  <c r="I15" i="154"/>
  <c r="I23" i="154"/>
  <c r="I14" i="154"/>
  <c r="I22" i="154"/>
  <c r="I30" i="154"/>
  <c r="I13" i="154"/>
  <c r="I21" i="154"/>
  <c r="I29" i="154"/>
  <c r="I37" i="154"/>
  <c r="I25" i="154"/>
  <c r="I31" i="154"/>
  <c r="I36" i="154"/>
  <c r="I43" i="154"/>
  <c r="I17" i="154"/>
  <c r="I35" i="154"/>
  <c r="I34" i="154"/>
  <c r="I42" i="154"/>
  <c r="I32" i="154"/>
  <c r="I33" i="154"/>
  <c r="I41" i="154"/>
  <c r="I39" i="154"/>
  <c r="I38" i="154"/>
  <c r="I40" i="154"/>
  <c r="BY10" i="154"/>
  <c r="BY18" i="154"/>
  <c r="BY26" i="154"/>
  <c r="BY17" i="154"/>
  <c r="BY25" i="154"/>
  <c r="BY16" i="154"/>
  <c r="BY24" i="154"/>
  <c r="BY15" i="154"/>
  <c r="BY23" i="154"/>
  <c r="BY31" i="154"/>
  <c r="BY14" i="154"/>
  <c r="BY22" i="154"/>
  <c r="BY12" i="154"/>
  <c r="BY20" i="154"/>
  <c r="BY28" i="154"/>
  <c r="BY36" i="154"/>
  <c r="BY35" i="154"/>
  <c r="BY43" i="154"/>
  <c r="BY34" i="154"/>
  <c r="BY42" i="154"/>
  <c r="BY27" i="154"/>
  <c r="BY30" i="154"/>
  <c r="BY33" i="154"/>
  <c r="BY41" i="154"/>
  <c r="BY21" i="154"/>
  <c r="BY29" i="154"/>
  <c r="BY32" i="154"/>
  <c r="BY40" i="154"/>
  <c r="BY19" i="154"/>
  <c r="BY39" i="154"/>
  <c r="BY38" i="154"/>
  <c r="BY11" i="154"/>
  <c r="BY37" i="154"/>
  <c r="BY9" i="154"/>
  <c r="BY13" i="154"/>
  <c r="AQ11" i="154"/>
  <c r="AQ18" i="154"/>
  <c r="AQ26" i="154"/>
  <c r="AQ17" i="154"/>
  <c r="AQ16" i="154"/>
  <c r="AQ24" i="154"/>
  <c r="AQ12" i="154"/>
  <c r="AQ15" i="154"/>
  <c r="AQ23" i="154"/>
  <c r="AQ14" i="154"/>
  <c r="AQ22" i="154"/>
  <c r="AQ19" i="154"/>
  <c r="AQ21" i="154"/>
  <c r="AQ27" i="154"/>
  <c r="AQ29" i="154"/>
  <c r="AQ28" i="154"/>
  <c r="AQ35" i="154"/>
  <c r="AQ20" i="154"/>
  <c r="AQ25" i="154"/>
  <c r="AQ34" i="154"/>
  <c r="AQ42" i="154"/>
  <c r="AQ10" i="154"/>
  <c r="AQ13" i="154"/>
  <c r="AQ33" i="154"/>
  <c r="AQ41" i="154"/>
  <c r="AQ32" i="154"/>
  <c r="AQ40" i="154"/>
  <c r="AQ31" i="154"/>
  <c r="AQ37" i="154"/>
  <c r="AQ30" i="154"/>
  <c r="AQ36" i="154"/>
  <c r="AQ9" i="154"/>
  <c r="AQ39" i="154"/>
  <c r="AQ43" i="154"/>
  <c r="AQ38" i="154"/>
  <c r="E35" i="145"/>
  <c r="G35" i="145" s="1"/>
  <c r="J35" i="145" s="1"/>
  <c r="L738" i="56"/>
  <c r="B738" i="56" s="1"/>
  <c r="AQ4" i="154" l="1"/>
  <c r="BY4" i="154"/>
  <c r="K72" i="141" l="1"/>
  <c r="J72" i="141"/>
  <c r="AQ75" i="65"/>
  <c r="AQ76" i="65" s="1"/>
  <c r="AQ77" i="65" s="1"/>
  <c r="AQ78" i="65" s="1"/>
  <c r="AQ79" i="65" s="1"/>
  <c r="AQ80" i="65" s="1"/>
  <c r="AQ81" i="65" s="1"/>
  <c r="AQ82" i="65" s="1"/>
  <c r="AQ83" i="65" s="1"/>
  <c r="AQ84" i="65" s="1"/>
  <c r="AQ85" i="65" s="1"/>
  <c r="AQ86" i="65" s="1"/>
  <c r="AQ87" i="65" s="1"/>
  <c r="AQ88" i="65" s="1"/>
  <c r="AQ89" i="65" s="1"/>
  <c r="AQ90" i="65" s="1"/>
  <c r="AQ91" i="65" s="1"/>
  <c r="AQ92" i="65" s="1"/>
  <c r="AQ93" i="65" s="1"/>
  <c r="AQ94" i="65" s="1"/>
  <c r="AQ95" i="65" s="1"/>
  <c r="AQ96" i="65" s="1"/>
  <c r="AQ97" i="65" s="1"/>
  <c r="AQ98" i="65" s="1"/>
  <c r="AQ99" i="65" s="1"/>
  <c r="AQ100" i="65" s="1"/>
  <c r="AQ101" i="65" s="1"/>
  <c r="AQ102" i="65" s="1"/>
  <c r="AQ103" i="65" s="1"/>
  <c r="AQ104" i="65" s="1"/>
  <c r="AQ105" i="65" s="1"/>
  <c r="AQ106" i="65" s="1"/>
  <c r="AQ107" i="65" s="1"/>
  <c r="J107" i="65"/>
  <c r="J110" i="65" s="1"/>
  <c r="I31" i="65"/>
  <c r="H32" i="65"/>
  <c r="H33" i="65"/>
  <c r="I33" i="65"/>
  <c r="G34" i="65"/>
  <c r="I34" i="65"/>
  <c r="H35" i="65"/>
  <c r="I35" i="65"/>
  <c r="H36" i="65"/>
  <c r="I36" i="65"/>
  <c r="H37" i="65"/>
  <c r="I37" i="65"/>
  <c r="H38" i="65"/>
  <c r="I38" i="65"/>
  <c r="H39" i="65"/>
  <c r="I39" i="65"/>
  <c r="G40" i="65"/>
  <c r="H40" i="65"/>
  <c r="H41" i="65"/>
  <c r="I41" i="65"/>
  <c r="H42" i="65"/>
  <c r="I42" i="65"/>
  <c r="H43" i="65"/>
  <c r="I43" i="65"/>
  <c r="I30" i="65"/>
  <c r="H30" i="65"/>
  <c r="G68" i="65"/>
  <c r="H54" i="65"/>
  <c r="O54" i="65" s="1"/>
  <c r="H55" i="65"/>
  <c r="P55" i="65" s="1"/>
  <c r="H56" i="65"/>
  <c r="N56" i="65" s="1"/>
  <c r="H57" i="65"/>
  <c r="L57" i="65" s="1"/>
  <c r="L68" i="65" s="1"/>
  <c r="H58" i="65"/>
  <c r="O58" i="65" s="1"/>
  <c r="H59" i="65"/>
  <c r="O59" i="65" s="1"/>
  <c r="H60" i="65"/>
  <c r="O60" i="65" s="1"/>
  <c r="H61" i="65"/>
  <c r="M61" i="65" s="1"/>
  <c r="H62" i="65"/>
  <c r="P62" i="65" s="1"/>
  <c r="H63" i="65"/>
  <c r="H64" i="65"/>
  <c r="P64" i="65" s="1"/>
  <c r="H65" i="65"/>
  <c r="K65" i="65" s="1"/>
  <c r="H66" i="65"/>
  <c r="K66" i="65" s="1"/>
  <c r="H53" i="65"/>
  <c r="K53" i="65" s="1"/>
  <c r="D68" i="65"/>
  <c r="D45" i="65"/>
  <c r="G43" i="65"/>
  <c r="G42" i="65"/>
  <c r="G41" i="65"/>
  <c r="I40" i="65"/>
  <c r="G39" i="65"/>
  <c r="G38" i="65"/>
  <c r="G37" i="65"/>
  <c r="G36" i="65"/>
  <c r="G35" i="65"/>
  <c r="H34" i="65"/>
  <c r="G33" i="65"/>
  <c r="G32" i="65"/>
  <c r="G31" i="65"/>
  <c r="G30" i="65"/>
  <c r="I6" i="65"/>
  <c r="I14" i="65" s="1"/>
  <c r="H6" i="65"/>
  <c r="H9" i="65" s="1"/>
  <c r="G6" i="65"/>
  <c r="G12" i="65" s="1"/>
  <c r="E578" i="56" l="1"/>
  <c r="M63" i="65"/>
  <c r="P63" i="65"/>
  <c r="K55" i="65"/>
  <c r="N55" i="65"/>
  <c r="K54" i="65"/>
  <c r="N54" i="65"/>
  <c r="I32" i="65"/>
  <c r="I45" i="65" s="1"/>
  <c r="H31" i="65"/>
  <c r="H45" i="65" s="1"/>
  <c r="K64" i="65"/>
  <c r="M64" i="65"/>
  <c r="O61" i="65"/>
  <c r="O68" i="65" s="1"/>
  <c r="P61" i="65"/>
  <c r="K60" i="65"/>
  <c r="N60" i="65"/>
  <c r="K59" i="65"/>
  <c r="N59" i="65"/>
  <c r="M58" i="65"/>
  <c r="P58" i="65"/>
  <c r="G45" i="65"/>
  <c r="E619" i="56"/>
  <c r="E607" i="56"/>
  <c r="E595" i="56"/>
  <c r="E583" i="56"/>
  <c r="E586" i="56"/>
  <c r="E598" i="56"/>
  <c r="E610" i="56"/>
  <c r="E615" i="56"/>
  <c r="E579" i="56"/>
  <c r="E603" i="56"/>
  <c r="E591" i="56"/>
  <c r="E616" i="56"/>
  <c r="E604" i="56"/>
  <c r="E592" i="56"/>
  <c r="E580" i="56"/>
  <c r="E617" i="56"/>
  <c r="E593" i="56"/>
  <c r="E605" i="56"/>
  <c r="E581" i="56"/>
  <c r="E618" i="56"/>
  <c r="E606" i="56"/>
  <c r="E594" i="56"/>
  <c r="E582" i="56"/>
  <c r="H68" i="65"/>
  <c r="F68" i="65"/>
  <c r="I18" i="65"/>
  <c r="G107" i="65"/>
  <c r="I9" i="65"/>
  <c r="I8" i="65"/>
  <c r="I19" i="65"/>
  <c r="I17" i="65"/>
  <c r="I16" i="65"/>
  <c r="E45" i="65"/>
  <c r="H14" i="65"/>
  <c r="I11" i="65"/>
  <c r="I10" i="65"/>
  <c r="I15" i="65"/>
  <c r="H21" i="65"/>
  <c r="H13" i="65"/>
  <c r="H20" i="65"/>
  <c r="H12" i="65"/>
  <c r="G17" i="65"/>
  <c r="G9" i="65"/>
  <c r="H8" i="65"/>
  <c r="H19" i="65"/>
  <c r="G14" i="65"/>
  <c r="H11" i="65"/>
  <c r="I21" i="65"/>
  <c r="G19" i="65"/>
  <c r="H16" i="65"/>
  <c r="I13" i="65"/>
  <c r="G11" i="65"/>
  <c r="G21" i="65"/>
  <c r="H18" i="65"/>
  <c r="G13" i="65"/>
  <c r="G16" i="65"/>
  <c r="H10" i="65"/>
  <c r="I20" i="65"/>
  <c r="G18" i="65"/>
  <c r="H15" i="65"/>
  <c r="I12" i="65"/>
  <c r="G10" i="65"/>
  <c r="G8" i="65"/>
  <c r="G15" i="65"/>
  <c r="G20" i="65"/>
  <c r="H17" i="65"/>
  <c r="E23" i="65"/>
  <c r="E602" i="56" l="1"/>
  <c r="E574" i="56"/>
  <c r="E614" i="56"/>
  <c r="E590" i="56"/>
  <c r="K68" i="65"/>
  <c r="M68" i="65"/>
  <c r="P68" i="65"/>
  <c r="N68" i="65"/>
  <c r="H23" i="65"/>
  <c r="G23" i="65"/>
  <c r="I23" i="65"/>
  <c r="E597" i="56"/>
  <c r="E585" i="56"/>
  <c r="E609" i="56"/>
  <c r="H107" i="65"/>
  <c r="I107" i="65"/>
  <c r="M7" i="141" l="1" a="1"/>
  <c r="E573" i="56"/>
  <c r="E418" i="56"/>
  <c r="E415" i="56"/>
  <c r="E414" i="56"/>
  <c r="E416" i="56"/>
  <c r="E420" i="56"/>
  <c r="E419" i="56"/>
  <c r="E417" i="56"/>
  <c r="Q10" i="141" l="1"/>
  <c r="Y10" i="141"/>
  <c r="AG10" i="141"/>
  <c r="AO10" i="141"/>
  <c r="AW10" i="141"/>
  <c r="BE10" i="141"/>
  <c r="Q11" i="141"/>
  <c r="Y11" i="141"/>
  <c r="AG11" i="141"/>
  <c r="AO11" i="141"/>
  <c r="AW11" i="141"/>
  <c r="BE11" i="141"/>
  <c r="Q12" i="141"/>
  <c r="Y12" i="141"/>
  <c r="AG12" i="141"/>
  <c r="AO12" i="141"/>
  <c r="AW12" i="141"/>
  <c r="BE12" i="141"/>
  <c r="Q13" i="141"/>
  <c r="Y13" i="141"/>
  <c r="AG13" i="141"/>
  <c r="AO13" i="141"/>
  <c r="AW13" i="141"/>
  <c r="BE13" i="141"/>
  <c r="Q14" i="141"/>
  <c r="Y14" i="141"/>
  <c r="AG14" i="141"/>
  <c r="AO14" i="141"/>
  <c r="AW14" i="141"/>
  <c r="BE14" i="141"/>
  <c r="Q15" i="141"/>
  <c r="Y15" i="141"/>
  <c r="AG15" i="141"/>
  <c r="AO15" i="141"/>
  <c r="AW15" i="141"/>
  <c r="BE15" i="141"/>
  <c r="Q16" i="141"/>
  <c r="Y16" i="141"/>
  <c r="AG16" i="141"/>
  <c r="AO16" i="141"/>
  <c r="AW16" i="141"/>
  <c r="BE16" i="141"/>
  <c r="Q17" i="141"/>
  <c r="Y17" i="141"/>
  <c r="AG17" i="141"/>
  <c r="AO17" i="141"/>
  <c r="AW17" i="141"/>
  <c r="BE17" i="141"/>
  <c r="Q18" i="141"/>
  <c r="Y18" i="141"/>
  <c r="AG18" i="141"/>
  <c r="AO18" i="141"/>
  <c r="AW18" i="141"/>
  <c r="BE18" i="141"/>
  <c r="Q19" i="141"/>
  <c r="Y19" i="141"/>
  <c r="AG19" i="141"/>
  <c r="AO19" i="141"/>
  <c r="AW19" i="141"/>
  <c r="BE19" i="141"/>
  <c r="Q20" i="141"/>
  <c r="Y20" i="141"/>
  <c r="AG20" i="141"/>
  <c r="AO20" i="141"/>
  <c r="AW20" i="141"/>
  <c r="BE20" i="141"/>
  <c r="Q21" i="141"/>
  <c r="R10" i="141"/>
  <c r="Z10" i="141"/>
  <c r="AH10" i="141"/>
  <c r="AP10" i="141"/>
  <c r="AX10" i="141"/>
  <c r="BF10" i="141"/>
  <c r="R11" i="141"/>
  <c r="Z11" i="141"/>
  <c r="AH11" i="141"/>
  <c r="AP11" i="141"/>
  <c r="AX11" i="141"/>
  <c r="BF11" i="141"/>
  <c r="R12" i="141"/>
  <c r="Z12" i="141"/>
  <c r="AH12" i="141"/>
  <c r="AP12" i="141"/>
  <c r="AX12" i="141"/>
  <c r="BF12" i="141"/>
  <c r="R13" i="141"/>
  <c r="Z13" i="141"/>
  <c r="AH13" i="141"/>
  <c r="AP13" i="141"/>
  <c r="AX13" i="141"/>
  <c r="BF13" i="141"/>
  <c r="R14" i="141"/>
  <c r="Z14" i="141"/>
  <c r="AH14" i="141"/>
  <c r="AP14" i="141"/>
  <c r="AX14" i="141"/>
  <c r="BF14" i="141"/>
  <c r="R15" i="141"/>
  <c r="Z15" i="141"/>
  <c r="AH15" i="141"/>
  <c r="AP15" i="141"/>
  <c r="AX15" i="141"/>
  <c r="BF15" i="141"/>
  <c r="R16" i="141"/>
  <c r="Z16" i="141"/>
  <c r="AH16" i="141"/>
  <c r="AP16" i="141"/>
  <c r="AX16" i="141"/>
  <c r="BF16" i="141"/>
  <c r="R17" i="141"/>
  <c r="Z17" i="141"/>
  <c r="AH17" i="141"/>
  <c r="AP17" i="141"/>
  <c r="AX17" i="141"/>
  <c r="BF17" i="141"/>
  <c r="R18" i="141"/>
  <c r="Z18" i="141"/>
  <c r="AH18" i="141"/>
  <c r="AP18" i="141"/>
  <c r="AX18" i="141"/>
  <c r="BF18" i="141"/>
  <c r="R19" i="141"/>
  <c r="Z19" i="141"/>
  <c r="AH19" i="141"/>
  <c r="AP19" i="141"/>
  <c r="AX19" i="141"/>
  <c r="BF19" i="141"/>
  <c r="R20" i="141"/>
  <c r="Z20" i="141"/>
  <c r="AH20" i="141"/>
  <c r="AP20" i="141"/>
  <c r="AX20" i="141"/>
  <c r="BF20" i="141"/>
  <c r="R21" i="141"/>
  <c r="Z21" i="141"/>
  <c r="AH21" i="141"/>
  <c r="AP21" i="141"/>
  <c r="AX21" i="141"/>
  <c r="BF21" i="141"/>
  <c r="R22" i="141"/>
  <c r="Z22" i="141"/>
  <c r="AH22" i="141"/>
  <c r="AP22" i="141"/>
  <c r="S10" i="141"/>
  <c r="AA10" i="141"/>
  <c r="AI10" i="141"/>
  <c r="AQ10" i="141"/>
  <c r="AY10" i="141"/>
  <c r="BG10" i="141"/>
  <c r="S11" i="141"/>
  <c r="AA11" i="141"/>
  <c r="AI11" i="141"/>
  <c r="AQ11" i="141"/>
  <c r="AY11" i="141"/>
  <c r="BG11" i="141"/>
  <c r="S12" i="141"/>
  <c r="AA12" i="141"/>
  <c r="AI12" i="141"/>
  <c r="AQ12" i="141"/>
  <c r="AY12" i="141"/>
  <c r="BG12" i="141"/>
  <c r="S13" i="141"/>
  <c r="AA13" i="141"/>
  <c r="AI13" i="141"/>
  <c r="AQ13" i="141"/>
  <c r="AY13" i="141"/>
  <c r="BG13" i="141"/>
  <c r="S14" i="141"/>
  <c r="AA14" i="141"/>
  <c r="AI14" i="141"/>
  <c r="AQ14" i="141"/>
  <c r="AY14" i="141"/>
  <c r="BG14" i="141"/>
  <c r="S15" i="141"/>
  <c r="AA15" i="141"/>
  <c r="AI15" i="141"/>
  <c r="AQ15" i="141"/>
  <c r="AY15" i="141"/>
  <c r="BG15" i="141"/>
  <c r="S16" i="141"/>
  <c r="AA16" i="141"/>
  <c r="AI16" i="141"/>
  <c r="AQ16" i="141"/>
  <c r="AY16" i="141"/>
  <c r="BG16" i="141"/>
  <c r="S17" i="141"/>
  <c r="AA17" i="141"/>
  <c r="AI17" i="141"/>
  <c r="AQ17" i="141"/>
  <c r="AY17" i="141"/>
  <c r="BG17" i="141"/>
  <c r="S18" i="141"/>
  <c r="AA18" i="141"/>
  <c r="AI18" i="141"/>
  <c r="AQ18" i="141"/>
  <c r="AY18" i="141"/>
  <c r="BG18" i="141"/>
  <c r="S19" i="141"/>
  <c r="AA19" i="141"/>
  <c r="AI19" i="141"/>
  <c r="AQ19" i="141"/>
  <c r="AY19" i="141"/>
  <c r="BG19" i="141"/>
  <c r="S20" i="141"/>
  <c r="AA20" i="141"/>
  <c r="AI20" i="141"/>
  <c r="AQ20" i="141"/>
  <c r="AY20" i="141"/>
  <c r="BG20" i="141"/>
  <c r="S21" i="141"/>
  <c r="AA21" i="141"/>
  <c r="AI21" i="141"/>
  <c r="AQ21" i="141"/>
  <c r="AY21" i="141"/>
  <c r="BG21" i="141"/>
  <c r="S22" i="141"/>
  <c r="AA22" i="141"/>
  <c r="AI22" i="141"/>
  <c r="AQ22" i="141"/>
  <c r="AY22" i="141"/>
  <c r="BG22" i="141"/>
  <c r="S23" i="141"/>
  <c r="T10" i="141"/>
  <c r="AB10" i="141"/>
  <c r="AJ10" i="141"/>
  <c r="AR10" i="141"/>
  <c r="AZ10" i="141"/>
  <c r="BH10" i="141"/>
  <c r="T11" i="141"/>
  <c r="AB11" i="141"/>
  <c r="AJ11" i="141"/>
  <c r="AR11" i="141"/>
  <c r="AZ11" i="141"/>
  <c r="BH11" i="141"/>
  <c r="T12" i="141"/>
  <c r="AB12" i="141"/>
  <c r="AJ12" i="141"/>
  <c r="AR12" i="141"/>
  <c r="AZ12" i="141"/>
  <c r="BH12" i="141"/>
  <c r="T13" i="141"/>
  <c r="AB13" i="141"/>
  <c r="AJ13" i="141"/>
  <c r="AR13" i="141"/>
  <c r="AZ13" i="141"/>
  <c r="BH13" i="141"/>
  <c r="T14" i="141"/>
  <c r="AB14" i="141"/>
  <c r="AJ14" i="141"/>
  <c r="AR14" i="141"/>
  <c r="AZ14" i="141"/>
  <c r="BH14" i="141"/>
  <c r="T15" i="141"/>
  <c r="AB15" i="141"/>
  <c r="AJ15" i="141"/>
  <c r="AR15" i="141"/>
  <c r="AZ15" i="141"/>
  <c r="BH15" i="141"/>
  <c r="T16" i="141"/>
  <c r="AB16" i="141"/>
  <c r="AJ16" i="141"/>
  <c r="AR16" i="141"/>
  <c r="AZ16" i="141"/>
  <c r="BH16" i="141"/>
  <c r="T17" i="141"/>
  <c r="AB17" i="141"/>
  <c r="AJ17" i="141"/>
  <c r="AR17" i="141"/>
  <c r="AZ17" i="141"/>
  <c r="BH17" i="141"/>
  <c r="T18" i="141"/>
  <c r="AB18" i="141"/>
  <c r="AJ18" i="141"/>
  <c r="AR18" i="141"/>
  <c r="AZ18" i="141"/>
  <c r="BH18" i="141"/>
  <c r="T19" i="141"/>
  <c r="AB19" i="141"/>
  <c r="AJ19" i="141"/>
  <c r="AR19" i="141"/>
  <c r="AZ19" i="141"/>
  <c r="BH19" i="141"/>
  <c r="T20" i="141"/>
  <c r="AB20" i="141"/>
  <c r="AJ20" i="141"/>
  <c r="AR20" i="141"/>
  <c r="AZ20" i="141"/>
  <c r="BH20" i="141"/>
  <c r="T21" i="141"/>
  <c r="AB21" i="141"/>
  <c r="AJ21" i="141"/>
  <c r="AR21" i="141"/>
  <c r="AZ21" i="141"/>
  <c r="BH21" i="141"/>
  <c r="N10" i="141"/>
  <c r="V10" i="141"/>
  <c r="AD10" i="141"/>
  <c r="AL10" i="141"/>
  <c r="AT10" i="141"/>
  <c r="BB10" i="141"/>
  <c r="N11" i="141"/>
  <c r="V11" i="141"/>
  <c r="AD11" i="141"/>
  <c r="AL11" i="141"/>
  <c r="AT11" i="141"/>
  <c r="BB11" i="141"/>
  <c r="N12" i="141"/>
  <c r="V12" i="141"/>
  <c r="AD12" i="141"/>
  <c r="AL12" i="141"/>
  <c r="AT12" i="141"/>
  <c r="BB12" i="141"/>
  <c r="N13" i="141"/>
  <c r="V13" i="141"/>
  <c r="AD13" i="141"/>
  <c r="AL13" i="141"/>
  <c r="AT13" i="141"/>
  <c r="BB13" i="141"/>
  <c r="N14" i="141"/>
  <c r="V14" i="141"/>
  <c r="AD14" i="141"/>
  <c r="AL14" i="141"/>
  <c r="AT14" i="141"/>
  <c r="BB14" i="141"/>
  <c r="N15" i="141"/>
  <c r="V15" i="141"/>
  <c r="AD15" i="141"/>
  <c r="AL15" i="141"/>
  <c r="AT15" i="141"/>
  <c r="BB15" i="141"/>
  <c r="N16" i="141"/>
  <c r="V16" i="141"/>
  <c r="AD16" i="141"/>
  <c r="AL16" i="141"/>
  <c r="AT16" i="141"/>
  <c r="BB16" i="141"/>
  <c r="N17" i="141"/>
  <c r="V17" i="141"/>
  <c r="AD17" i="141"/>
  <c r="AL17" i="141"/>
  <c r="AT17" i="141"/>
  <c r="BB17" i="141"/>
  <c r="N18" i="141"/>
  <c r="V18" i="141"/>
  <c r="AD18" i="141"/>
  <c r="AL18" i="141"/>
  <c r="AT18" i="141"/>
  <c r="BB18" i="141"/>
  <c r="N19" i="141"/>
  <c r="V19" i="141"/>
  <c r="AD19" i="141"/>
  <c r="AL19" i="141"/>
  <c r="AT19" i="141"/>
  <c r="BB19" i="141"/>
  <c r="N20" i="141"/>
  <c r="V20" i="141"/>
  <c r="AD20" i="141"/>
  <c r="AL20" i="141"/>
  <c r="AT20" i="141"/>
  <c r="BB20" i="141"/>
  <c r="N21" i="141"/>
  <c r="V21" i="141"/>
  <c r="O10" i="141"/>
  <c r="W10" i="141"/>
  <c r="AE10" i="141"/>
  <c r="AM10" i="141"/>
  <c r="AU10" i="141"/>
  <c r="BC10" i="141"/>
  <c r="O11" i="141"/>
  <c r="W11" i="141"/>
  <c r="AE11" i="141"/>
  <c r="AM11" i="141"/>
  <c r="AU11" i="141"/>
  <c r="BC11" i="141"/>
  <c r="O12" i="141"/>
  <c r="W12" i="141"/>
  <c r="AE12" i="141"/>
  <c r="AM12" i="141"/>
  <c r="AU12" i="141"/>
  <c r="BC12" i="141"/>
  <c r="O13" i="141"/>
  <c r="W13" i="141"/>
  <c r="AE13" i="141"/>
  <c r="AM13" i="141"/>
  <c r="AU13" i="141"/>
  <c r="BC13" i="141"/>
  <c r="O14" i="141"/>
  <c r="W14" i="141"/>
  <c r="AE14" i="141"/>
  <c r="AM14" i="141"/>
  <c r="AU14" i="141"/>
  <c r="BC14" i="141"/>
  <c r="O15" i="141"/>
  <c r="W15" i="141"/>
  <c r="AE15" i="141"/>
  <c r="AM15" i="141"/>
  <c r="AU15" i="141"/>
  <c r="BC15" i="141"/>
  <c r="O16" i="141"/>
  <c r="W16" i="141"/>
  <c r="AE16" i="141"/>
  <c r="AM16" i="141"/>
  <c r="AU16" i="141"/>
  <c r="BC16" i="141"/>
  <c r="O17" i="141"/>
  <c r="W17" i="141"/>
  <c r="AE17" i="141"/>
  <c r="AM17" i="141"/>
  <c r="AU17" i="141"/>
  <c r="BC17" i="141"/>
  <c r="O18" i="141"/>
  <c r="W18" i="141"/>
  <c r="AE18" i="141"/>
  <c r="AM18" i="141"/>
  <c r="AU18" i="141"/>
  <c r="BC18" i="141"/>
  <c r="O19" i="141"/>
  <c r="W19" i="141"/>
  <c r="AE19" i="141"/>
  <c r="AM19" i="141"/>
  <c r="AU19" i="141"/>
  <c r="BC19" i="141"/>
  <c r="O20" i="141"/>
  <c r="W20" i="141"/>
  <c r="AE20" i="141"/>
  <c r="AM20" i="141"/>
  <c r="AU20" i="141"/>
  <c r="BC20" i="141"/>
  <c r="O21" i="141"/>
  <c r="W21" i="141"/>
  <c r="AE21" i="141"/>
  <c r="AM21" i="141"/>
  <c r="AU21" i="141"/>
  <c r="BC21" i="141"/>
  <c r="O22" i="141"/>
  <c r="W22" i="141"/>
  <c r="AE22" i="141"/>
  <c r="AM22" i="141"/>
  <c r="AU22" i="141"/>
  <c r="BC22" i="141"/>
  <c r="O23" i="141"/>
  <c r="W23" i="141"/>
  <c r="AK10" i="141"/>
  <c r="U11" i="141"/>
  <c r="BA11" i="141"/>
  <c r="AK12" i="141"/>
  <c r="U13" i="141"/>
  <c r="BA13" i="141"/>
  <c r="AK14" i="141"/>
  <c r="U15" i="141"/>
  <c r="BA15" i="141"/>
  <c r="AK16" i="141"/>
  <c r="U17" i="141"/>
  <c r="BA17" i="141"/>
  <c r="AK18" i="141"/>
  <c r="U19" i="141"/>
  <c r="BA19" i="141"/>
  <c r="AK20" i="141"/>
  <c r="U21" i="141"/>
  <c r="AL21" i="141"/>
  <c r="BB21" i="141"/>
  <c r="U22" i="141"/>
  <c r="AG22" i="141"/>
  <c r="AT22" i="141"/>
  <c r="BE22" i="141"/>
  <c r="T23" i="141"/>
  <c r="AC23" i="141"/>
  <c r="AK23" i="141"/>
  <c r="AS23" i="141"/>
  <c r="BA23" i="141"/>
  <c r="U24" i="141"/>
  <c r="AC24" i="141"/>
  <c r="AK24" i="141"/>
  <c r="AS24" i="141"/>
  <c r="BA24" i="141"/>
  <c r="U25" i="141"/>
  <c r="AC25" i="141"/>
  <c r="AK25" i="141"/>
  <c r="AS25" i="141"/>
  <c r="BA25" i="141"/>
  <c r="U26" i="141"/>
  <c r="AC26" i="141"/>
  <c r="AK26" i="141"/>
  <c r="AS26" i="141"/>
  <c r="BA26" i="141"/>
  <c r="U27" i="141"/>
  <c r="AC27" i="141"/>
  <c r="AK27" i="141"/>
  <c r="AS27" i="141"/>
  <c r="BA27" i="141"/>
  <c r="U28" i="141"/>
  <c r="AC28" i="141"/>
  <c r="AK28" i="141"/>
  <c r="AS28" i="141"/>
  <c r="BA28" i="141"/>
  <c r="U29" i="141"/>
  <c r="AC29" i="141"/>
  <c r="AK29" i="141"/>
  <c r="AS29" i="141"/>
  <c r="BA29" i="141"/>
  <c r="U30" i="141"/>
  <c r="AC30" i="141"/>
  <c r="AK30" i="141"/>
  <c r="AS30" i="141"/>
  <c r="BA30" i="141"/>
  <c r="U31" i="141"/>
  <c r="AC31" i="141"/>
  <c r="AK31" i="141"/>
  <c r="AS31" i="141"/>
  <c r="BA31" i="141"/>
  <c r="U32" i="141"/>
  <c r="AC32" i="141"/>
  <c r="AK32" i="141"/>
  <c r="AS32" i="141"/>
  <c r="BA32" i="141"/>
  <c r="AN10" i="141"/>
  <c r="X11" i="141"/>
  <c r="BD11" i="141"/>
  <c r="AN12" i="141"/>
  <c r="X13" i="141"/>
  <c r="BD13" i="141"/>
  <c r="AN14" i="141"/>
  <c r="X15" i="141"/>
  <c r="BD15" i="141"/>
  <c r="AN16" i="141"/>
  <c r="X17" i="141"/>
  <c r="BD17" i="141"/>
  <c r="AN18" i="141"/>
  <c r="X19" i="141"/>
  <c r="BD19" i="141"/>
  <c r="AN20" i="141"/>
  <c r="X21" i="141"/>
  <c r="AN21" i="141"/>
  <c r="BD21" i="141"/>
  <c r="V22" i="141"/>
  <c r="AJ22" i="141"/>
  <c r="AV22" i="141"/>
  <c r="BF22" i="141"/>
  <c r="U23" i="141"/>
  <c r="AD23" i="141"/>
  <c r="AL23" i="141"/>
  <c r="AT23" i="141"/>
  <c r="BB23" i="141"/>
  <c r="N24" i="141"/>
  <c r="V24" i="141"/>
  <c r="AD24" i="141"/>
  <c r="AL24" i="141"/>
  <c r="AT24" i="141"/>
  <c r="BB24" i="141"/>
  <c r="N25" i="141"/>
  <c r="V25" i="141"/>
  <c r="AD25" i="141"/>
  <c r="AL25" i="141"/>
  <c r="AT25" i="141"/>
  <c r="BB25" i="141"/>
  <c r="N26" i="141"/>
  <c r="V26" i="141"/>
  <c r="AD26" i="141"/>
  <c r="AL26" i="141"/>
  <c r="AT26" i="141"/>
  <c r="AS10" i="141"/>
  <c r="AC11" i="141"/>
  <c r="AS12" i="141"/>
  <c r="AC13" i="141"/>
  <c r="AS14" i="141"/>
  <c r="AC15" i="141"/>
  <c r="AS16" i="141"/>
  <c r="AC17" i="141"/>
  <c r="AS18" i="141"/>
  <c r="AC19" i="141"/>
  <c r="AS20" i="141"/>
  <c r="Y21" i="141"/>
  <c r="AO21" i="141"/>
  <c r="BE21" i="141"/>
  <c r="X22" i="141"/>
  <c r="AK22" i="141"/>
  <c r="AW22" i="141"/>
  <c r="BH22" i="141"/>
  <c r="V23" i="141"/>
  <c r="AE23" i="141"/>
  <c r="AM23" i="141"/>
  <c r="AU23" i="141"/>
  <c r="BC23" i="141"/>
  <c r="O24" i="141"/>
  <c r="W24" i="141"/>
  <c r="AE24" i="141"/>
  <c r="AM24" i="141"/>
  <c r="AU24" i="141"/>
  <c r="BC24" i="141"/>
  <c r="O25" i="141"/>
  <c r="W25" i="141"/>
  <c r="AE25" i="141"/>
  <c r="AM25" i="141"/>
  <c r="AU25" i="141"/>
  <c r="BC25" i="141"/>
  <c r="O26" i="141"/>
  <c r="W26" i="141"/>
  <c r="AE26" i="141"/>
  <c r="AM26" i="141"/>
  <c r="AU26" i="141"/>
  <c r="BC26" i="141"/>
  <c r="O27" i="141"/>
  <c r="W27" i="141"/>
  <c r="AE27" i="141"/>
  <c r="AM27" i="141"/>
  <c r="AU27" i="141"/>
  <c r="BC27" i="141"/>
  <c r="O28" i="141"/>
  <c r="W28" i="141"/>
  <c r="AE28" i="141"/>
  <c r="AM28" i="141"/>
  <c r="AU28" i="141"/>
  <c r="BC28" i="141"/>
  <c r="O29" i="141"/>
  <c r="W29" i="141"/>
  <c r="AE29" i="141"/>
  <c r="AM29" i="141"/>
  <c r="AU29" i="141"/>
  <c r="BC29" i="141"/>
  <c r="O30" i="141"/>
  <c r="W30" i="141"/>
  <c r="AE30" i="141"/>
  <c r="AM30" i="141"/>
  <c r="AU30" i="141"/>
  <c r="BC30" i="141"/>
  <c r="O31" i="141"/>
  <c r="W31" i="141"/>
  <c r="AE31" i="141"/>
  <c r="AM31" i="141"/>
  <c r="AU31" i="141"/>
  <c r="BC31" i="141"/>
  <c r="O32" i="141"/>
  <c r="W32" i="141"/>
  <c r="AE32" i="141"/>
  <c r="AM32" i="141"/>
  <c r="AU32" i="141"/>
  <c r="P10" i="141"/>
  <c r="AV10" i="141"/>
  <c r="AF11" i="141"/>
  <c r="P12" i="141"/>
  <c r="AV12" i="141"/>
  <c r="AF13" i="141"/>
  <c r="P14" i="141"/>
  <c r="AV14" i="141"/>
  <c r="AF15" i="141"/>
  <c r="P16" i="141"/>
  <c r="AV16" i="141"/>
  <c r="AF17" i="141"/>
  <c r="P18" i="141"/>
  <c r="AV18" i="141"/>
  <c r="AF19" i="141"/>
  <c r="P20" i="141"/>
  <c r="AV20" i="141"/>
  <c r="AC21" i="141"/>
  <c r="AS21" i="141"/>
  <c r="Y22" i="141"/>
  <c r="AL22" i="141"/>
  <c r="AX22" i="141"/>
  <c r="X23" i="141"/>
  <c r="AF23" i="141"/>
  <c r="AN23" i="141"/>
  <c r="AV23" i="141"/>
  <c r="BD23" i="141"/>
  <c r="P24" i="141"/>
  <c r="X24" i="141"/>
  <c r="AF24" i="141"/>
  <c r="AN24" i="141"/>
  <c r="AV24" i="141"/>
  <c r="BD24" i="141"/>
  <c r="P25" i="141"/>
  <c r="X25" i="141"/>
  <c r="AF25" i="141"/>
  <c r="AN25" i="141"/>
  <c r="AV25" i="141"/>
  <c r="BD25" i="141"/>
  <c r="P26" i="141"/>
  <c r="X26" i="141"/>
  <c r="AF26" i="141"/>
  <c r="AN26" i="141"/>
  <c r="AV26" i="141"/>
  <c r="BD26" i="141"/>
  <c r="P27" i="141"/>
  <c r="X27" i="141"/>
  <c r="AF27" i="141"/>
  <c r="AN27" i="141"/>
  <c r="AV27" i="141"/>
  <c r="BD27" i="141"/>
  <c r="P28" i="141"/>
  <c r="X28" i="141"/>
  <c r="AF28" i="141"/>
  <c r="AN28" i="141"/>
  <c r="AV28" i="141"/>
  <c r="BD28" i="141"/>
  <c r="P29" i="141"/>
  <c r="X29" i="141"/>
  <c r="AF29" i="141"/>
  <c r="AN29" i="141"/>
  <c r="AV29" i="141"/>
  <c r="BD29" i="141"/>
  <c r="P30" i="141"/>
  <c r="X30" i="141"/>
  <c r="AF30" i="141"/>
  <c r="AN30" i="141"/>
  <c r="AV30" i="141"/>
  <c r="BD30" i="141"/>
  <c r="P31" i="141"/>
  <c r="X31" i="141"/>
  <c r="AF31" i="141"/>
  <c r="AN31" i="141"/>
  <c r="AV31" i="141"/>
  <c r="BD31" i="141"/>
  <c r="P32" i="141"/>
  <c r="U10" i="141"/>
  <c r="BA10" i="141"/>
  <c r="AK11" i="141"/>
  <c r="U12" i="141"/>
  <c r="BA12" i="141"/>
  <c r="AK13" i="141"/>
  <c r="U14" i="141"/>
  <c r="BA14" i="141"/>
  <c r="AK15" i="141"/>
  <c r="U16" i="141"/>
  <c r="BA16" i="141"/>
  <c r="AK17" i="141"/>
  <c r="U18" i="141"/>
  <c r="BA18" i="141"/>
  <c r="AK19" i="141"/>
  <c r="U20" i="141"/>
  <c r="BA20" i="141"/>
  <c r="AD21" i="141"/>
  <c r="AT21" i="141"/>
  <c r="N22" i="141"/>
  <c r="AB22" i="141"/>
  <c r="AN22" i="141"/>
  <c r="AZ22" i="141"/>
  <c r="N23" i="141"/>
  <c r="Y23" i="141"/>
  <c r="AG23" i="141"/>
  <c r="AO23" i="141"/>
  <c r="AW23" i="141"/>
  <c r="BE23" i="141"/>
  <c r="Q24" i="141"/>
  <c r="Y24" i="141"/>
  <c r="AG24" i="141"/>
  <c r="AO24" i="141"/>
  <c r="AW24" i="141"/>
  <c r="BE24" i="141"/>
  <c r="Q25" i="141"/>
  <c r="Y25" i="141"/>
  <c r="AG25" i="141"/>
  <c r="AO25" i="141"/>
  <c r="AW25" i="141"/>
  <c r="BE25" i="141"/>
  <c r="Q26" i="141"/>
  <c r="Y26" i="141"/>
  <c r="AG26" i="141"/>
  <c r="AO26" i="141"/>
  <c r="AW26" i="141"/>
  <c r="BE26" i="141"/>
  <c r="Q27" i="141"/>
  <c r="Y27" i="141"/>
  <c r="AG27" i="141"/>
  <c r="AO27" i="141"/>
  <c r="AW27" i="141"/>
  <c r="BE27" i="141"/>
  <c r="Q28" i="141"/>
  <c r="Y28" i="141"/>
  <c r="AG28" i="141"/>
  <c r="AO28" i="141"/>
  <c r="AW28" i="141"/>
  <c r="BE28" i="141"/>
  <c r="Q29" i="141"/>
  <c r="Y29" i="141"/>
  <c r="AG29" i="141"/>
  <c r="AO29" i="141"/>
  <c r="AW29" i="141"/>
  <c r="BE29" i="141"/>
  <c r="Q30" i="141"/>
  <c r="Y30" i="141"/>
  <c r="AG30" i="141"/>
  <c r="AO30" i="141"/>
  <c r="AW30" i="141"/>
  <c r="AC10" i="141"/>
  <c r="AS11" i="141"/>
  <c r="AC12" i="141"/>
  <c r="AS13" i="141"/>
  <c r="AC14" i="141"/>
  <c r="AS15" i="141"/>
  <c r="AC16" i="141"/>
  <c r="AS17" i="141"/>
  <c r="AC18" i="141"/>
  <c r="AS19" i="141"/>
  <c r="AC20" i="141"/>
  <c r="AG21" i="141"/>
  <c r="AW21" i="141"/>
  <c r="Q22" i="141"/>
  <c r="AD22" i="141"/>
  <c r="AR22" i="141"/>
  <c r="BB22" i="141"/>
  <c r="Q23" i="141"/>
  <c r="AA23" i="141"/>
  <c r="AI23" i="141"/>
  <c r="AQ23" i="141"/>
  <c r="AY23" i="141"/>
  <c r="BG23" i="141"/>
  <c r="S24" i="141"/>
  <c r="AA24" i="141"/>
  <c r="AI24" i="141"/>
  <c r="AQ24" i="141"/>
  <c r="AY24" i="141"/>
  <c r="BG24" i="141"/>
  <c r="S25" i="141"/>
  <c r="AA25" i="141"/>
  <c r="AI25" i="141"/>
  <c r="AQ25" i="141"/>
  <c r="AY25" i="141"/>
  <c r="BG25" i="141"/>
  <c r="S26" i="141"/>
  <c r="AA26" i="141"/>
  <c r="AI26" i="141"/>
  <c r="AQ26" i="141"/>
  <c r="AY26" i="141"/>
  <c r="BG26" i="141"/>
  <c r="S27" i="141"/>
  <c r="AA27" i="141"/>
  <c r="AI27" i="141"/>
  <c r="AQ27" i="141"/>
  <c r="AY27" i="141"/>
  <c r="BG27" i="141"/>
  <c r="S28" i="141"/>
  <c r="AA28" i="141"/>
  <c r="AI28" i="141"/>
  <c r="AQ28" i="141"/>
  <c r="AY28" i="141"/>
  <c r="BG28" i="141"/>
  <c r="S29" i="141"/>
  <c r="AA29" i="141"/>
  <c r="AI29" i="141"/>
  <c r="AQ29" i="141"/>
  <c r="AY29" i="141"/>
  <c r="BG29" i="141"/>
  <c r="S30" i="141"/>
  <c r="AA30" i="141"/>
  <c r="AI30" i="141"/>
  <c r="AQ30" i="141"/>
  <c r="AY30" i="141"/>
  <c r="BG30" i="141"/>
  <c r="S31" i="141"/>
  <c r="AA31" i="141"/>
  <c r="AI31" i="141"/>
  <c r="AQ31" i="141"/>
  <c r="AY31" i="141"/>
  <c r="BG31" i="141"/>
  <c r="S32" i="141"/>
  <c r="X12" i="141"/>
  <c r="BD14" i="141"/>
  <c r="AN17" i="141"/>
  <c r="X20" i="141"/>
  <c r="P22" i="141"/>
  <c r="P23" i="141"/>
  <c r="AX23" i="141"/>
  <c r="AH24" i="141"/>
  <c r="R25" i="141"/>
  <c r="AX25" i="141"/>
  <c r="AH26" i="141"/>
  <c r="BH26" i="141"/>
  <c r="AH27" i="141"/>
  <c r="BB27" i="141"/>
  <c r="AB28" i="141"/>
  <c r="AX28" i="141"/>
  <c r="V29" i="141"/>
  <c r="AR29" i="141"/>
  <c r="R30" i="141"/>
  <c r="AL30" i="141"/>
  <c r="BF30" i="141"/>
  <c r="Z31" i="141"/>
  <c r="AP31" i="141"/>
  <c r="BF31" i="141"/>
  <c r="Y32" i="141"/>
  <c r="AI32" i="141"/>
  <c r="AT32" i="141"/>
  <c r="BD32" i="141"/>
  <c r="Q33" i="141"/>
  <c r="Y33" i="141"/>
  <c r="AG33" i="141"/>
  <c r="AO33" i="141"/>
  <c r="AW33" i="141"/>
  <c r="BE33" i="141"/>
  <c r="Q34" i="141"/>
  <c r="Y34" i="141"/>
  <c r="AG34" i="141"/>
  <c r="AO34" i="141"/>
  <c r="AW34" i="141"/>
  <c r="BE34" i="141"/>
  <c r="Q35" i="141"/>
  <c r="Y35" i="141"/>
  <c r="AG35" i="141"/>
  <c r="AO35" i="141"/>
  <c r="AW35" i="141"/>
  <c r="BE35" i="141"/>
  <c r="Q36" i="141"/>
  <c r="Y36" i="141"/>
  <c r="AG36" i="141"/>
  <c r="AO36" i="141"/>
  <c r="AW36" i="141"/>
  <c r="BE36" i="141"/>
  <c r="Q37" i="141"/>
  <c r="Y37" i="141"/>
  <c r="AG37" i="141"/>
  <c r="AO37" i="141"/>
  <c r="AW37" i="141"/>
  <c r="BE37" i="141"/>
  <c r="Q38" i="141"/>
  <c r="Y38" i="141"/>
  <c r="AG38" i="141"/>
  <c r="AO38" i="141"/>
  <c r="AW38" i="141"/>
  <c r="BE38" i="141"/>
  <c r="Q39" i="141"/>
  <c r="Y39" i="141"/>
  <c r="AG39" i="141"/>
  <c r="AO39" i="141"/>
  <c r="AW39" i="141"/>
  <c r="BE39" i="141"/>
  <c r="Q40" i="141"/>
  <c r="Y40" i="141"/>
  <c r="AG40" i="141"/>
  <c r="AO40" i="141"/>
  <c r="AW40" i="141"/>
  <c r="BE40" i="141"/>
  <c r="Q41" i="141"/>
  <c r="Y41" i="141"/>
  <c r="AG41" i="141"/>
  <c r="AO41" i="141"/>
  <c r="AW41" i="141"/>
  <c r="BE41" i="141"/>
  <c r="Q42" i="141"/>
  <c r="Y42" i="141"/>
  <c r="AG42" i="141"/>
  <c r="AF12" i="141"/>
  <c r="P15" i="141"/>
  <c r="AV17" i="141"/>
  <c r="AF20" i="141"/>
  <c r="T22" i="141"/>
  <c r="R23" i="141"/>
  <c r="AZ23" i="141"/>
  <c r="AJ24" i="141"/>
  <c r="T25" i="141"/>
  <c r="AZ25" i="141"/>
  <c r="AJ26" i="141"/>
  <c r="N27" i="141"/>
  <c r="AJ27" i="141"/>
  <c r="BF27" i="141"/>
  <c r="AD28" i="141"/>
  <c r="AZ28" i="141"/>
  <c r="Z29" i="141"/>
  <c r="AT29" i="141"/>
  <c r="T30" i="141"/>
  <c r="AP30" i="141"/>
  <c r="BH30" i="141"/>
  <c r="AB31" i="141"/>
  <c r="AR31" i="141"/>
  <c r="BH31" i="141"/>
  <c r="Z32" i="141"/>
  <c r="AJ32" i="141"/>
  <c r="AV32" i="141"/>
  <c r="BE32" i="141"/>
  <c r="R33" i="141"/>
  <c r="Z33" i="141"/>
  <c r="AH33" i="141"/>
  <c r="AP33" i="141"/>
  <c r="AX33" i="141"/>
  <c r="BF33" i="141"/>
  <c r="R34" i="141"/>
  <c r="Z34" i="141"/>
  <c r="AH34" i="141"/>
  <c r="AP34" i="141"/>
  <c r="AX34" i="141"/>
  <c r="BF34" i="141"/>
  <c r="R35" i="141"/>
  <c r="Z35" i="141"/>
  <c r="AH35" i="141"/>
  <c r="AP35" i="141"/>
  <c r="AX35" i="141"/>
  <c r="BF35" i="141"/>
  <c r="R36" i="141"/>
  <c r="Z36" i="141"/>
  <c r="AH36" i="141"/>
  <c r="AP36" i="141"/>
  <c r="AX36" i="141"/>
  <c r="BF36" i="141"/>
  <c r="R37" i="141"/>
  <c r="Z37" i="141"/>
  <c r="AH37" i="141"/>
  <c r="AP37" i="141"/>
  <c r="AX37" i="141"/>
  <c r="BF37" i="141"/>
  <c r="R38" i="141"/>
  <c r="Z38" i="141"/>
  <c r="AH38" i="141"/>
  <c r="AP38" i="141"/>
  <c r="AX38" i="141"/>
  <c r="BF38" i="141"/>
  <c r="R39" i="141"/>
  <c r="Z39" i="141"/>
  <c r="X10" i="141"/>
  <c r="BD12" i="141"/>
  <c r="AN15" i="141"/>
  <c r="X18" i="141"/>
  <c r="BD20" i="141"/>
  <c r="AC22" i="141"/>
  <c r="Z23" i="141"/>
  <c r="BF23" i="141"/>
  <c r="AP24" i="141"/>
  <c r="Z25" i="141"/>
  <c r="BF25" i="141"/>
  <c r="AP26" i="141"/>
  <c r="R27" i="141"/>
  <c r="AL27" i="141"/>
  <c r="BH27" i="141"/>
  <c r="AH28" i="141"/>
  <c r="BB28" i="141"/>
  <c r="AB29" i="141"/>
  <c r="AX29" i="141"/>
  <c r="V30" i="141"/>
  <c r="AR30" i="141"/>
  <c r="N31" i="141"/>
  <c r="AD31" i="141"/>
  <c r="AT31" i="141"/>
  <c r="N32" i="141"/>
  <c r="AA32" i="141"/>
  <c r="AL32" i="141"/>
  <c r="AW32" i="141"/>
  <c r="BF32" i="141"/>
  <c r="S33" i="141"/>
  <c r="AA33" i="141"/>
  <c r="AI33" i="141"/>
  <c r="AQ33" i="141"/>
  <c r="AY33" i="141"/>
  <c r="BG33" i="141"/>
  <c r="S34" i="141"/>
  <c r="AA34" i="141"/>
  <c r="AI34" i="141"/>
  <c r="AQ34" i="141"/>
  <c r="AY34" i="141"/>
  <c r="BG34" i="141"/>
  <c r="S35" i="141"/>
  <c r="AA35" i="141"/>
  <c r="AI35" i="141"/>
  <c r="AQ35" i="141"/>
  <c r="AY35" i="141"/>
  <c r="BG35" i="141"/>
  <c r="S36" i="141"/>
  <c r="AA36" i="141"/>
  <c r="AI36" i="141"/>
  <c r="AQ36" i="141"/>
  <c r="AY36" i="141"/>
  <c r="BG36" i="141"/>
  <c r="S37" i="141"/>
  <c r="AA37" i="141"/>
  <c r="AI37" i="141"/>
  <c r="AQ37" i="141"/>
  <c r="AY37" i="141"/>
  <c r="BG37" i="141"/>
  <c r="S38" i="141"/>
  <c r="AA38" i="141"/>
  <c r="AI38" i="141"/>
  <c r="AQ38" i="141"/>
  <c r="AY38" i="141"/>
  <c r="BG38" i="141"/>
  <c r="S39" i="141"/>
  <c r="AA39" i="141"/>
  <c r="AI39" i="141"/>
  <c r="AQ39" i="141"/>
  <c r="AY39" i="141"/>
  <c r="BG39" i="141"/>
  <c r="S40" i="141"/>
  <c r="AA40" i="141"/>
  <c r="AI40" i="141"/>
  <c r="AQ40" i="141"/>
  <c r="AY40" i="141"/>
  <c r="BG40" i="141"/>
  <c r="S41" i="141"/>
  <c r="AA41" i="141"/>
  <c r="AI41" i="141"/>
  <c r="AQ41" i="141"/>
  <c r="AY41" i="141"/>
  <c r="BG41" i="141"/>
  <c r="S42" i="141"/>
  <c r="AA42" i="141"/>
  <c r="AF10" i="141"/>
  <c r="P13" i="141"/>
  <c r="AV15" i="141"/>
  <c r="AF18" i="141"/>
  <c r="P21" i="141"/>
  <c r="AF22" i="141"/>
  <c r="AB23" i="141"/>
  <c r="BH23" i="141"/>
  <c r="AR24" i="141"/>
  <c r="AB25" i="141"/>
  <c r="BH25" i="141"/>
  <c r="AR26" i="141"/>
  <c r="T27" i="141"/>
  <c r="AP27" i="141"/>
  <c r="N28" i="141"/>
  <c r="AJ28" i="141"/>
  <c r="BF28" i="141"/>
  <c r="AD29" i="141"/>
  <c r="AZ29" i="141"/>
  <c r="Z30" i="141"/>
  <c r="AT30" i="141"/>
  <c r="Q31" i="141"/>
  <c r="AG31" i="141"/>
  <c r="AW31" i="141"/>
  <c r="Q32" i="141"/>
  <c r="AB32" i="141"/>
  <c r="AN32" i="141"/>
  <c r="AX32" i="141"/>
  <c r="BG32" i="141"/>
  <c r="T33" i="141"/>
  <c r="AB33" i="141"/>
  <c r="AJ33" i="141"/>
  <c r="AR33" i="141"/>
  <c r="AZ33" i="141"/>
  <c r="BH33" i="141"/>
  <c r="T34" i="141"/>
  <c r="AB34" i="141"/>
  <c r="AJ34" i="141"/>
  <c r="AR34" i="141"/>
  <c r="AZ34" i="141"/>
  <c r="BH34" i="141"/>
  <c r="T35" i="141"/>
  <c r="AB35" i="141"/>
  <c r="AJ35" i="141"/>
  <c r="AR35" i="141"/>
  <c r="AZ35" i="141"/>
  <c r="BH35" i="141"/>
  <c r="T36" i="141"/>
  <c r="AB36" i="141"/>
  <c r="AJ36" i="141"/>
  <c r="AR36" i="141"/>
  <c r="AZ36" i="141"/>
  <c r="BH36" i="141"/>
  <c r="T37" i="141"/>
  <c r="AB37" i="141"/>
  <c r="AJ37" i="141"/>
  <c r="AR37" i="141"/>
  <c r="AZ37" i="141"/>
  <c r="BH37" i="141"/>
  <c r="T38" i="141"/>
  <c r="AB38" i="141"/>
  <c r="AJ38" i="141"/>
  <c r="AR38" i="141"/>
  <c r="AZ38" i="141"/>
  <c r="BH38" i="141"/>
  <c r="T39" i="141"/>
  <c r="AB39" i="141"/>
  <c r="AJ39" i="141"/>
  <c r="AR39" i="141"/>
  <c r="AZ39" i="141"/>
  <c r="BH39" i="141"/>
  <c r="T40" i="141"/>
  <c r="AB40" i="141"/>
  <c r="AJ40" i="141"/>
  <c r="AR40" i="141"/>
  <c r="BD10" i="141"/>
  <c r="AN13" i="141"/>
  <c r="X16" i="141"/>
  <c r="BD18" i="141"/>
  <c r="AF21" i="141"/>
  <c r="AO22" i="141"/>
  <c r="AH23" i="141"/>
  <c r="R24" i="141"/>
  <c r="AX24" i="141"/>
  <c r="AH25" i="141"/>
  <c r="R26" i="141"/>
  <c r="AX26" i="141"/>
  <c r="V27" i="141"/>
  <c r="AR27" i="141"/>
  <c r="R28" i="141"/>
  <c r="AL28" i="141"/>
  <c r="BH28" i="141"/>
  <c r="AH29" i="141"/>
  <c r="BB29" i="141"/>
  <c r="AB30" i="141"/>
  <c r="AX30" i="141"/>
  <c r="R31" i="141"/>
  <c r="AH31" i="141"/>
  <c r="AX31" i="141"/>
  <c r="R32" i="141"/>
  <c r="AD32" i="141"/>
  <c r="AO32" i="141"/>
  <c r="AY32" i="141"/>
  <c r="BH32" i="141"/>
  <c r="U33" i="141"/>
  <c r="AC33" i="141"/>
  <c r="AK33" i="141"/>
  <c r="AS33" i="141"/>
  <c r="BA33" i="141"/>
  <c r="U34" i="141"/>
  <c r="AC34" i="141"/>
  <c r="AK34" i="141"/>
  <c r="AS34" i="141"/>
  <c r="BA34" i="141"/>
  <c r="U35" i="141"/>
  <c r="AC35" i="141"/>
  <c r="AK35" i="141"/>
  <c r="AS35" i="141"/>
  <c r="BA35" i="141"/>
  <c r="U36" i="141"/>
  <c r="AC36" i="141"/>
  <c r="AK36" i="141"/>
  <c r="AS36" i="141"/>
  <c r="BA36" i="141"/>
  <c r="U37" i="141"/>
  <c r="AC37" i="141"/>
  <c r="AK37" i="141"/>
  <c r="AS37" i="141"/>
  <c r="BA37" i="141"/>
  <c r="U38" i="141"/>
  <c r="AC38" i="141"/>
  <c r="AK38" i="141"/>
  <c r="AS38" i="141"/>
  <c r="BA38" i="141"/>
  <c r="U39" i="141"/>
  <c r="AC39" i="141"/>
  <c r="AK39" i="141"/>
  <c r="AS39" i="141"/>
  <c r="AN11" i="141"/>
  <c r="X14" i="141"/>
  <c r="BD16" i="141"/>
  <c r="AN19" i="141"/>
  <c r="AV21" i="141"/>
  <c r="BA22" i="141"/>
  <c r="AP23" i="141"/>
  <c r="Z24" i="141"/>
  <c r="BF24" i="141"/>
  <c r="AP25" i="141"/>
  <c r="Z26" i="141"/>
  <c r="BB26" i="141"/>
  <c r="AB27" i="141"/>
  <c r="AX27" i="141"/>
  <c r="V28" i="141"/>
  <c r="AR28" i="141"/>
  <c r="R29" i="141"/>
  <c r="AL29" i="141"/>
  <c r="BH29" i="141"/>
  <c r="AH30" i="141"/>
  <c r="BB30" i="141"/>
  <c r="V31" i="141"/>
  <c r="AL31" i="141"/>
  <c r="BB31" i="141"/>
  <c r="V32" i="141"/>
  <c r="AG32" i="141"/>
  <c r="AQ32" i="141"/>
  <c r="BB32" i="141"/>
  <c r="O33" i="141"/>
  <c r="W33" i="141"/>
  <c r="AE33" i="141"/>
  <c r="AM33" i="141"/>
  <c r="AU33" i="141"/>
  <c r="BC33" i="141"/>
  <c r="O34" i="141"/>
  <c r="W34" i="141"/>
  <c r="AE34" i="141"/>
  <c r="AM34" i="141"/>
  <c r="AU34" i="141"/>
  <c r="BC34" i="141"/>
  <c r="O35" i="141"/>
  <c r="W35" i="141"/>
  <c r="AE35" i="141"/>
  <c r="AM35" i="141"/>
  <c r="AU35" i="141"/>
  <c r="BC35" i="141"/>
  <c r="O36" i="141"/>
  <c r="W36" i="141"/>
  <c r="AE36" i="141"/>
  <c r="AM36" i="141"/>
  <c r="AU36" i="141"/>
  <c r="BC36" i="141"/>
  <c r="O37" i="141"/>
  <c r="W37" i="141"/>
  <c r="AE37" i="141"/>
  <c r="AM37" i="141"/>
  <c r="AU37" i="141"/>
  <c r="BC37" i="141"/>
  <c r="O38" i="141"/>
  <c r="W38" i="141"/>
  <c r="AE38" i="141"/>
  <c r="AM38" i="141"/>
  <c r="AU38" i="141"/>
  <c r="BC38" i="141"/>
  <c r="O39" i="141"/>
  <c r="W39" i="141"/>
  <c r="AE39" i="141"/>
  <c r="AM39" i="141"/>
  <c r="AU39" i="141"/>
  <c r="BC39" i="141"/>
  <c r="O40" i="141"/>
  <c r="W40" i="141"/>
  <c r="AE40" i="141"/>
  <c r="P11" i="141"/>
  <c r="AK21" i="141"/>
  <c r="AZ24" i="141"/>
  <c r="Z27" i="141"/>
  <c r="N29" i="141"/>
  <c r="AZ30" i="141"/>
  <c r="T32" i="141"/>
  <c r="N33" i="141"/>
  <c r="AT33" i="141"/>
  <c r="AD34" i="141"/>
  <c r="N35" i="141"/>
  <c r="AT35" i="141"/>
  <c r="AD36" i="141"/>
  <c r="N37" i="141"/>
  <c r="AT37" i="141"/>
  <c r="AD38" i="141"/>
  <c r="N39" i="141"/>
  <c r="AN39" i="141"/>
  <c r="BF39" i="141"/>
  <c r="Z40" i="141"/>
  <c r="AN40" i="141"/>
  <c r="BA40" i="141"/>
  <c r="O41" i="141"/>
  <c r="Z41" i="141"/>
  <c r="AK41" i="141"/>
  <c r="AU41" i="141"/>
  <c r="BF41" i="141"/>
  <c r="U42" i="141"/>
  <c r="AE42" i="141"/>
  <c r="AN42" i="141"/>
  <c r="AV42" i="141"/>
  <c r="BD42" i="141"/>
  <c r="P43" i="141"/>
  <c r="X43" i="141"/>
  <c r="AF43" i="141"/>
  <c r="AN43" i="141"/>
  <c r="AV43" i="141"/>
  <c r="BD43" i="141"/>
  <c r="P44" i="141"/>
  <c r="X44" i="141"/>
  <c r="AF44" i="141"/>
  <c r="AN44" i="141"/>
  <c r="AV44" i="141"/>
  <c r="BD44" i="141"/>
  <c r="P45" i="141"/>
  <c r="X45" i="141"/>
  <c r="AF45" i="141"/>
  <c r="AN45" i="141"/>
  <c r="AV45" i="141"/>
  <c r="BD45" i="141"/>
  <c r="P46" i="141"/>
  <c r="X46" i="141"/>
  <c r="AF46" i="141"/>
  <c r="AN46" i="141"/>
  <c r="AV46" i="141"/>
  <c r="BD46" i="141"/>
  <c r="P47" i="141"/>
  <c r="X47" i="141"/>
  <c r="AF47" i="141"/>
  <c r="AN47" i="141"/>
  <c r="AV47" i="141"/>
  <c r="BD47" i="141"/>
  <c r="P48" i="141"/>
  <c r="X48" i="141"/>
  <c r="AF48" i="141"/>
  <c r="AN48" i="141"/>
  <c r="AV48" i="141"/>
  <c r="BD48" i="141"/>
  <c r="P49" i="141"/>
  <c r="X49" i="141"/>
  <c r="AF49" i="141"/>
  <c r="AN49" i="141"/>
  <c r="AV49" i="141"/>
  <c r="BD49" i="141"/>
  <c r="P50" i="141"/>
  <c r="X50" i="141"/>
  <c r="AF50" i="141"/>
  <c r="AN50" i="141"/>
  <c r="AV50" i="141"/>
  <c r="BD50" i="141"/>
  <c r="P51" i="141"/>
  <c r="X51" i="141"/>
  <c r="AF51" i="141"/>
  <c r="AN51" i="141"/>
  <c r="AV51" i="141"/>
  <c r="BD51" i="141"/>
  <c r="AV11" i="141"/>
  <c r="BA21" i="141"/>
  <c r="BH24" i="141"/>
  <c r="AD27" i="141"/>
  <c r="T29" i="141"/>
  <c r="BE30" i="141"/>
  <c r="X32" i="141"/>
  <c r="P33" i="141"/>
  <c r="AV33" i="141"/>
  <c r="AF34" i="141"/>
  <c r="P35" i="141"/>
  <c r="AV35" i="141"/>
  <c r="AF36" i="141"/>
  <c r="P37" i="141"/>
  <c r="AV37" i="141"/>
  <c r="AF38" i="141"/>
  <c r="P39" i="141"/>
  <c r="AP39" i="141"/>
  <c r="AC40" i="141"/>
  <c r="AP40" i="141"/>
  <c r="BB40" i="141"/>
  <c r="P41" i="141"/>
  <c r="AB41" i="141"/>
  <c r="AL41" i="141"/>
  <c r="AV41" i="141"/>
  <c r="BH41" i="141"/>
  <c r="V42" i="141"/>
  <c r="AF42" i="141"/>
  <c r="AO42" i="141"/>
  <c r="AW42" i="141"/>
  <c r="BE42" i="141"/>
  <c r="Q43" i="141"/>
  <c r="Y43" i="141"/>
  <c r="AG43" i="141"/>
  <c r="AO43" i="141"/>
  <c r="AW43" i="141"/>
  <c r="BE43" i="141"/>
  <c r="Q44" i="141"/>
  <c r="Y44" i="141"/>
  <c r="AG44" i="141"/>
  <c r="AO44" i="141"/>
  <c r="AW44" i="141"/>
  <c r="BE44" i="141"/>
  <c r="Q45" i="141"/>
  <c r="Y45" i="141"/>
  <c r="AG45" i="141"/>
  <c r="AO45" i="141"/>
  <c r="AW45" i="141"/>
  <c r="BE45" i="141"/>
  <c r="Q46" i="141"/>
  <c r="Y46" i="141"/>
  <c r="AG46" i="141"/>
  <c r="AO46" i="141"/>
  <c r="AW46" i="141"/>
  <c r="BE46" i="141"/>
  <c r="Q47" i="141"/>
  <c r="Y47" i="141"/>
  <c r="AG47" i="141"/>
  <c r="AO47" i="141"/>
  <c r="AW47" i="141"/>
  <c r="BE47" i="141"/>
  <c r="Q48" i="141"/>
  <c r="Y48" i="141"/>
  <c r="AG48" i="141"/>
  <c r="AO48" i="141"/>
  <c r="AW48" i="141"/>
  <c r="BE48" i="141"/>
  <c r="Q49" i="141"/>
  <c r="Y49" i="141"/>
  <c r="AG49" i="141"/>
  <c r="AO49" i="141"/>
  <c r="AW49" i="141"/>
  <c r="BE49" i="141"/>
  <c r="Q50" i="141"/>
  <c r="Y50" i="141"/>
  <c r="AG50" i="141"/>
  <c r="AO50" i="141"/>
  <c r="AW50" i="141"/>
  <c r="BE50" i="141"/>
  <c r="Q51" i="141"/>
  <c r="Y51" i="141"/>
  <c r="AG51" i="141"/>
  <c r="AO51" i="141"/>
  <c r="AW51" i="141"/>
  <c r="AV13" i="141"/>
  <c r="AS22" i="141"/>
  <c r="AJ25" i="141"/>
  <c r="AT27" i="141"/>
  <c r="AJ29" i="141"/>
  <c r="T31" i="141"/>
  <c r="AF32" i="141"/>
  <c r="V33" i="141"/>
  <c r="BB33" i="141"/>
  <c r="AL34" i="141"/>
  <c r="V35" i="141"/>
  <c r="BB35" i="141"/>
  <c r="AL36" i="141"/>
  <c r="V37" i="141"/>
  <c r="BB37" i="141"/>
  <c r="AL38" i="141"/>
  <c r="V39" i="141"/>
  <c r="AT39" i="141"/>
  <c r="N40" i="141"/>
  <c r="AD40" i="141"/>
  <c r="AS40" i="141"/>
  <c r="BC40" i="141"/>
  <c r="R41" i="141"/>
  <c r="AC41" i="141"/>
  <c r="AM41" i="141"/>
  <c r="AX41" i="141"/>
  <c r="W42" i="141"/>
  <c r="AH42" i="141"/>
  <c r="AP42" i="141"/>
  <c r="AX42" i="141"/>
  <c r="BF42" i="141"/>
  <c r="R43" i="141"/>
  <c r="Z43" i="141"/>
  <c r="AH43" i="141"/>
  <c r="AP43" i="141"/>
  <c r="AX43" i="141"/>
  <c r="BF43" i="141"/>
  <c r="R44" i="141"/>
  <c r="Z44" i="141"/>
  <c r="AH44" i="141"/>
  <c r="AP44" i="141"/>
  <c r="AX44" i="141"/>
  <c r="BF44" i="141"/>
  <c r="R45" i="141"/>
  <c r="Z45" i="141"/>
  <c r="AH45" i="141"/>
  <c r="AP45" i="141"/>
  <c r="AX45" i="141"/>
  <c r="BF45" i="141"/>
  <c r="R46" i="141"/>
  <c r="Z46" i="141"/>
  <c r="AH46" i="141"/>
  <c r="AP46" i="141"/>
  <c r="AX46" i="141"/>
  <c r="BF46" i="141"/>
  <c r="R47" i="141"/>
  <c r="Z47" i="141"/>
  <c r="AH47" i="141"/>
  <c r="AP47" i="141"/>
  <c r="AX47" i="141"/>
  <c r="BF47" i="141"/>
  <c r="R48" i="141"/>
  <c r="Z48" i="141"/>
  <c r="AH48" i="141"/>
  <c r="AP48" i="141"/>
  <c r="AX48" i="141"/>
  <c r="BF48" i="141"/>
  <c r="R49" i="141"/>
  <c r="Z49" i="141"/>
  <c r="AH49" i="141"/>
  <c r="AP49" i="141"/>
  <c r="AX49" i="141"/>
  <c r="BF49" i="141"/>
  <c r="R50" i="141"/>
  <c r="Z50" i="141"/>
  <c r="AH50" i="141"/>
  <c r="AP50" i="141"/>
  <c r="AX50" i="141"/>
  <c r="BF50" i="141"/>
  <c r="R51" i="141"/>
  <c r="Z51" i="141"/>
  <c r="AH51" i="141"/>
  <c r="AP51" i="141"/>
  <c r="AX51" i="141"/>
  <c r="BF51" i="141"/>
  <c r="AF14" i="141"/>
  <c r="BD22" i="141"/>
  <c r="AR25" i="141"/>
  <c r="AZ27" i="141"/>
  <c r="AP29" i="141"/>
  <c r="Y31" i="141"/>
  <c r="AH32" i="141"/>
  <c r="X33" i="141"/>
  <c r="BD33" i="141"/>
  <c r="AN34" i="141"/>
  <c r="X35" i="141"/>
  <c r="BD35" i="141"/>
  <c r="AN36" i="141"/>
  <c r="X37" i="141"/>
  <c r="BD37" i="141"/>
  <c r="AN38" i="141"/>
  <c r="X39" i="141"/>
  <c r="AV39" i="141"/>
  <c r="P40" i="141"/>
  <c r="AF40" i="141"/>
  <c r="AT40" i="141"/>
  <c r="BD40" i="141"/>
  <c r="T41" i="141"/>
  <c r="AD41" i="141"/>
  <c r="AN41" i="141"/>
  <c r="AZ41" i="141"/>
  <c r="N42" i="141"/>
  <c r="X42" i="141"/>
  <c r="AI42" i="141"/>
  <c r="AQ42" i="141"/>
  <c r="AY42" i="141"/>
  <c r="BG42" i="141"/>
  <c r="S43" i="141"/>
  <c r="AA43" i="141"/>
  <c r="AI43" i="141"/>
  <c r="AQ43" i="141"/>
  <c r="AY43" i="141"/>
  <c r="BG43" i="141"/>
  <c r="S44" i="141"/>
  <c r="AA44" i="141"/>
  <c r="AI44" i="141"/>
  <c r="AQ44" i="141"/>
  <c r="AY44" i="141"/>
  <c r="BG44" i="141"/>
  <c r="S45" i="141"/>
  <c r="AA45" i="141"/>
  <c r="AI45" i="141"/>
  <c r="AQ45" i="141"/>
  <c r="AY45" i="141"/>
  <c r="BG45" i="141"/>
  <c r="S46" i="141"/>
  <c r="AA46" i="141"/>
  <c r="AI46" i="141"/>
  <c r="AQ46" i="141"/>
  <c r="AY46" i="141"/>
  <c r="BG46" i="141"/>
  <c r="S47" i="141"/>
  <c r="AA47" i="141"/>
  <c r="AI47" i="141"/>
  <c r="AQ47" i="141"/>
  <c r="AY47" i="141"/>
  <c r="BG47" i="141"/>
  <c r="S48" i="141"/>
  <c r="AA48" i="141"/>
  <c r="AI48" i="141"/>
  <c r="AQ48" i="141"/>
  <c r="AY48" i="141"/>
  <c r="BG48" i="141"/>
  <c r="S49" i="141"/>
  <c r="AA49" i="141"/>
  <c r="AI49" i="141"/>
  <c r="AQ49" i="141"/>
  <c r="AY49" i="141"/>
  <c r="BG49" i="141"/>
  <c r="S50" i="141"/>
  <c r="AA50" i="141"/>
  <c r="AF16" i="141"/>
  <c r="AJ23" i="141"/>
  <c r="T26" i="141"/>
  <c r="T28" i="141"/>
  <c r="BF29" i="141"/>
  <c r="AJ31" i="141"/>
  <c r="AP32" i="141"/>
  <c r="AD33" i="141"/>
  <c r="N34" i="141"/>
  <c r="AT34" i="141"/>
  <c r="AD35" i="141"/>
  <c r="N36" i="141"/>
  <c r="AT36" i="141"/>
  <c r="AD37" i="141"/>
  <c r="N38" i="141"/>
  <c r="AT38" i="141"/>
  <c r="AD39" i="141"/>
  <c r="AX39" i="141"/>
  <c r="R40" i="141"/>
  <c r="AH40" i="141"/>
  <c r="AU40" i="141"/>
  <c r="BF40" i="141"/>
  <c r="U41" i="141"/>
  <c r="AE41" i="141"/>
  <c r="AP41" i="141"/>
  <c r="BA41" i="141"/>
  <c r="O42" i="141"/>
  <c r="Z42" i="141"/>
  <c r="AJ42" i="141"/>
  <c r="AR42" i="141"/>
  <c r="AZ42" i="141"/>
  <c r="BH42" i="141"/>
  <c r="T43" i="141"/>
  <c r="AB43" i="141"/>
  <c r="AJ43" i="141"/>
  <c r="AR43" i="141"/>
  <c r="AZ43" i="141"/>
  <c r="BH43" i="141"/>
  <c r="T44" i="141"/>
  <c r="AB44" i="141"/>
  <c r="AJ44" i="141"/>
  <c r="AR44" i="141"/>
  <c r="AZ44" i="141"/>
  <c r="BH44" i="141"/>
  <c r="T45" i="141"/>
  <c r="AB45" i="141"/>
  <c r="AJ45" i="141"/>
  <c r="AR45" i="141"/>
  <c r="AZ45" i="141"/>
  <c r="BH45" i="141"/>
  <c r="T46" i="141"/>
  <c r="AB46" i="141"/>
  <c r="AJ46" i="141"/>
  <c r="AR46" i="141"/>
  <c r="AZ46" i="141"/>
  <c r="BH46" i="141"/>
  <c r="T47" i="141"/>
  <c r="AB47" i="141"/>
  <c r="AJ47" i="141"/>
  <c r="AR47" i="141"/>
  <c r="AZ47" i="141"/>
  <c r="BH47" i="141"/>
  <c r="T48" i="141"/>
  <c r="AB48" i="141"/>
  <c r="AJ48" i="141"/>
  <c r="AR48" i="141"/>
  <c r="AZ48" i="141"/>
  <c r="BH48" i="141"/>
  <c r="T49" i="141"/>
  <c r="AB49" i="141"/>
  <c r="AJ49" i="141"/>
  <c r="AR49" i="141"/>
  <c r="AZ49" i="141"/>
  <c r="BH49" i="141"/>
  <c r="T50" i="141"/>
  <c r="AB50" i="141"/>
  <c r="AJ50" i="141"/>
  <c r="AR50" i="141"/>
  <c r="AZ50" i="141"/>
  <c r="BH50" i="141"/>
  <c r="T51" i="141"/>
  <c r="AB51" i="141"/>
  <c r="AJ51" i="141"/>
  <c r="AR51" i="141"/>
  <c r="AZ51" i="141"/>
  <c r="P19" i="141"/>
  <c r="T24" i="141"/>
  <c r="AZ26" i="141"/>
  <c r="AP28" i="141"/>
  <c r="AD30" i="141"/>
  <c r="AZ31" i="141"/>
  <c r="AZ32" i="141"/>
  <c r="AL33" i="141"/>
  <c r="V34" i="141"/>
  <c r="BB34" i="141"/>
  <c r="AL35" i="141"/>
  <c r="V36" i="141"/>
  <c r="BB36" i="141"/>
  <c r="AL37" i="141"/>
  <c r="V38" i="141"/>
  <c r="BB38" i="141"/>
  <c r="AH39" i="141"/>
  <c r="BB39" i="141"/>
  <c r="V40" i="141"/>
  <c r="AL40" i="141"/>
  <c r="AX40" i="141"/>
  <c r="W41" i="141"/>
  <c r="AH41" i="141"/>
  <c r="AS41" i="141"/>
  <c r="BC41" i="141"/>
  <c r="R42" i="141"/>
  <c r="AC42" i="141"/>
  <c r="AL42" i="141"/>
  <c r="AT42" i="141"/>
  <c r="BB42" i="141"/>
  <c r="N43" i="141"/>
  <c r="V43" i="141"/>
  <c r="AD43" i="141"/>
  <c r="AL43" i="141"/>
  <c r="AT43" i="141"/>
  <c r="BB43" i="141"/>
  <c r="N44" i="141"/>
  <c r="V44" i="141"/>
  <c r="AD44" i="141"/>
  <c r="AL44" i="141"/>
  <c r="AT44" i="141"/>
  <c r="BB44" i="141"/>
  <c r="N45" i="141"/>
  <c r="V45" i="141"/>
  <c r="AD45" i="141"/>
  <c r="AL45" i="141"/>
  <c r="AT45" i="141"/>
  <c r="BB45" i="141"/>
  <c r="N46" i="141"/>
  <c r="V46" i="141"/>
  <c r="AD46" i="141"/>
  <c r="AL46" i="141"/>
  <c r="AT46" i="141"/>
  <c r="BB46" i="141"/>
  <c r="N47" i="141"/>
  <c r="V47" i="141"/>
  <c r="AD47" i="141"/>
  <c r="AL47" i="141"/>
  <c r="AT47" i="141"/>
  <c r="BB47" i="141"/>
  <c r="N48" i="141"/>
  <c r="V48" i="141"/>
  <c r="AD48" i="141"/>
  <c r="AL48" i="141"/>
  <c r="AT48" i="141"/>
  <c r="BB48" i="141"/>
  <c r="N49" i="141"/>
  <c r="V49" i="141"/>
  <c r="AD49" i="141"/>
  <c r="AL49" i="141"/>
  <c r="AT49" i="141"/>
  <c r="BB49" i="141"/>
  <c r="N50" i="141"/>
  <c r="V50" i="141"/>
  <c r="AD50" i="141"/>
  <c r="AL50" i="141"/>
  <c r="AT50" i="141"/>
  <c r="BB50" i="141"/>
  <c r="N51" i="141"/>
  <c r="V51" i="141"/>
  <c r="AV19" i="141"/>
  <c r="AB24" i="141"/>
  <c r="BF26" i="141"/>
  <c r="AT28" i="141"/>
  <c r="AJ30" i="141"/>
  <c r="P17" i="141"/>
  <c r="BC32" i="141"/>
  <c r="AN35" i="141"/>
  <c r="X38" i="141"/>
  <c r="X40" i="141"/>
  <c r="X41" i="141"/>
  <c r="T42" i="141"/>
  <c r="BC42" i="141"/>
  <c r="AM43" i="141"/>
  <c r="W44" i="141"/>
  <c r="BC44" i="141"/>
  <c r="AM45" i="141"/>
  <c r="W46" i="141"/>
  <c r="BC46" i="141"/>
  <c r="AM47" i="141"/>
  <c r="W48" i="141"/>
  <c r="BC48" i="141"/>
  <c r="AM49" i="141"/>
  <c r="W50" i="141"/>
  <c r="AU50" i="141"/>
  <c r="U51" i="141"/>
  <c r="AL51" i="141"/>
  <c r="BB51" i="141"/>
  <c r="P52" i="141"/>
  <c r="X52" i="141"/>
  <c r="AF52" i="141"/>
  <c r="AN52" i="141"/>
  <c r="AV52" i="141"/>
  <c r="BD52" i="141"/>
  <c r="P53" i="141"/>
  <c r="X53" i="141"/>
  <c r="AF53" i="141"/>
  <c r="AN53" i="141"/>
  <c r="AV53" i="141"/>
  <c r="BD53" i="141"/>
  <c r="P54" i="141"/>
  <c r="X54" i="141"/>
  <c r="AF54" i="141"/>
  <c r="AN54" i="141"/>
  <c r="AV54" i="141"/>
  <c r="BD54" i="141"/>
  <c r="P55" i="141"/>
  <c r="X55" i="141"/>
  <c r="AF55" i="141"/>
  <c r="AN55" i="141"/>
  <c r="AV55" i="141"/>
  <c r="BD55" i="141"/>
  <c r="P56" i="141"/>
  <c r="X56" i="141"/>
  <c r="AF56" i="141"/>
  <c r="AN56" i="141"/>
  <c r="AV56" i="141"/>
  <c r="BD56" i="141"/>
  <c r="P57" i="141"/>
  <c r="X57" i="141"/>
  <c r="AF57" i="141"/>
  <c r="AN57" i="141"/>
  <c r="AV57" i="141"/>
  <c r="BD57" i="141"/>
  <c r="P58" i="141"/>
  <c r="X58" i="141"/>
  <c r="AF58" i="141"/>
  <c r="AN58" i="141"/>
  <c r="AV58" i="141"/>
  <c r="BD58" i="141"/>
  <c r="P59" i="141"/>
  <c r="X59" i="141"/>
  <c r="AF59" i="141"/>
  <c r="AN59" i="141"/>
  <c r="AV59" i="141"/>
  <c r="BD59" i="141"/>
  <c r="P60" i="141"/>
  <c r="X60" i="141"/>
  <c r="AF60" i="141"/>
  <c r="AN60" i="141"/>
  <c r="AV60" i="141"/>
  <c r="BD60" i="141"/>
  <c r="P61" i="141"/>
  <c r="X61" i="141"/>
  <c r="AF61" i="141"/>
  <c r="AN61" i="141"/>
  <c r="AV61" i="141"/>
  <c r="BD61" i="141"/>
  <c r="AR23" i="141"/>
  <c r="AF33" i="141"/>
  <c r="P36" i="141"/>
  <c r="AV38" i="141"/>
  <c r="AK40" i="141"/>
  <c r="AF41" i="141"/>
  <c r="AB42" i="141"/>
  <c r="AS43" i="141"/>
  <c r="AC44" i="141"/>
  <c r="AB26" i="141"/>
  <c r="AN33" i="141"/>
  <c r="X36" i="141"/>
  <c r="BD38" i="141"/>
  <c r="AM40" i="141"/>
  <c r="AJ41" i="141"/>
  <c r="AD42" i="141"/>
  <c r="O43" i="141"/>
  <c r="AU43" i="141"/>
  <c r="AE44" i="141"/>
  <c r="O45" i="141"/>
  <c r="AU45" i="141"/>
  <c r="AE46" i="141"/>
  <c r="O47" i="141"/>
  <c r="AU47" i="141"/>
  <c r="AE48" i="141"/>
  <c r="O49" i="141"/>
  <c r="AU49" i="141"/>
  <c r="AE50" i="141"/>
  <c r="BA50" i="141"/>
  <c r="AA51" i="141"/>
  <c r="AQ51" i="141"/>
  <c r="BE51" i="141"/>
  <c r="R52" i="141"/>
  <c r="Z52" i="141"/>
  <c r="AH52" i="141"/>
  <c r="AP52" i="141"/>
  <c r="AX52" i="141"/>
  <c r="BF52" i="141"/>
  <c r="R53" i="141"/>
  <c r="Z53" i="141"/>
  <c r="AH53" i="141"/>
  <c r="AP53" i="141"/>
  <c r="AX53" i="141"/>
  <c r="BF53" i="141"/>
  <c r="R54" i="141"/>
  <c r="Z54" i="141"/>
  <c r="AH54" i="141"/>
  <c r="AP54" i="141"/>
  <c r="AX54" i="141"/>
  <c r="BF54" i="141"/>
  <c r="R55" i="141"/>
  <c r="Z55" i="141"/>
  <c r="AH55" i="141"/>
  <c r="AP55" i="141"/>
  <c r="AX55" i="141"/>
  <c r="BF55" i="141"/>
  <c r="R56" i="141"/>
  <c r="Z56" i="141"/>
  <c r="AH56" i="141"/>
  <c r="AP56" i="141"/>
  <c r="AX56" i="141"/>
  <c r="BF56" i="141"/>
  <c r="R57" i="141"/>
  <c r="Z57" i="141"/>
  <c r="AH57" i="141"/>
  <c r="AP57" i="141"/>
  <c r="AX57" i="141"/>
  <c r="BF57" i="141"/>
  <c r="R58" i="141"/>
  <c r="Z58" i="141"/>
  <c r="AH58" i="141"/>
  <c r="AP58" i="141"/>
  <c r="AX58" i="141"/>
  <c r="BF58" i="141"/>
  <c r="R59" i="141"/>
  <c r="Z59" i="141"/>
  <c r="AH59" i="141"/>
  <c r="AP59" i="141"/>
  <c r="AX59" i="141"/>
  <c r="BF59" i="141"/>
  <c r="R60" i="141"/>
  <c r="Z60" i="141"/>
  <c r="AH60" i="141"/>
  <c r="AP60" i="141"/>
  <c r="AX60" i="141"/>
  <c r="BF60" i="141"/>
  <c r="R61" i="141"/>
  <c r="Z61" i="141"/>
  <c r="AH61" i="141"/>
  <c r="AP61" i="141"/>
  <c r="AX61" i="141"/>
  <c r="BF61" i="141"/>
  <c r="R62" i="141"/>
  <c r="Z62" i="141"/>
  <c r="AH62" i="141"/>
  <c r="AP62" i="141"/>
  <c r="AX62" i="141"/>
  <c r="BF62" i="141"/>
  <c r="R63" i="141"/>
  <c r="Z28" i="141"/>
  <c r="P34" i="141"/>
  <c r="AV36" i="141"/>
  <c r="AF39" i="141"/>
  <c r="AV40" i="141"/>
  <c r="AR41" i="141"/>
  <c r="AK42" i="141"/>
  <c r="U43" i="141"/>
  <c r="BA43" i="141"/>
  <c r="AK44" i="141"/>
  <c r="U45" i="141"/>
  <c r="BA45" i="141"/>
  <c r="AK46" i="141"/>
  <c r="U47" i="141"/>
  <c r="BA47" i="141"/>
  <c r="AK48" i="141"/>
  <c r="U49" i="141"/>
  <c r="BA49" i="141"/>
  <c r="AI50" i="141"/>
  <c r="BC50" i="141"/>
  <c r="AC51" i="141"/>
  <c r="AS51" i="141"/>
  <c r="BG51" i="141"/>
  <c r="S52" i="141"/>
  <c r="AA52" i="141"/>
  <c r="AI52" i="141"/>
  <c r="AQ52" i="141"/>
  <c r="AY52" i="141"/>
  <c r="BG52" i="141"/>
  <c r="S53" i="141"/>
  <c r="AA53" i="141"/>
  <c r="AI53" i="141"/>
  <c r="AQ53" i="141"/>
  <c r="AY53" i="141"/>
  <c r="BG53" i="141"/>
  <c r="S54" i="141"/>
  <c r="AA54" i="141"/>
  <c r="AI54" i="141"/>
  <c r="AQ54" i="141"/>
  <c r="AY54" i="141"/>
  <c r="BG54" i="141"/>
  <c r="S55" i="141"/>
  <c r="AA55" i="141"/>
  <c r="AI55" i="141"/>
  <c r="AQ55" i="141"/>
  <c r="AY55" i="141"/>
  <c r="BG55" i="141"/>
  <c r="S56" i="141"/>
  <c r="AA56" i="141"/>
  <c r="AI56" i="141"/>
  <c r="AQ56" i="141"/>
  <c r="AY56" i="141"/>
  <c r="BG56" i="141"/>
  <c r="S57" i="141"/>
  <c r="AA57" i="141"/>
  <c r="AI57" i="141"/>
  <c r="AQ57" i="141"/>
  <c r="AY57" i="141"/>
  <c r="BG57" i="141"/>
  <c r="S58" i="141"/>
  <c r="AA58" i="141"/>
  <c r="AI58" i="141"/>
  <c r="AQ58" i="141"/>
  <c r="AY58" i="141"/>
  <c r="BG58" i="141"/>
  <c r="S59" i="141"/>
  <c r="AA59" i="141"/>
  <c r="AI59" i="141"/>
  <c r="AQ59" i="141"/>
  <c r="AY59" i="141"/>
  <c r="BG59" i="141"/>
  <c r="S60" i="141"/>
  <c r="AA60" i="141"/>
  <c r="AI60" i="141"/>
  <c r="AQ60" i="141"/>
  <c r="AY60" i="141"/>
  <c r="BG60" i="141"/>
  <c r="S61" i="141"/>
  <c r="AA61" i="141"/>
  <c r="AI61" i="141"/>
  <c r="AQ61" i="141"/>
  <c r="AY61" i="141"/>
  <c r="BG61" i="141"/>
  <c r="S62" i="141"/>
  <c r="AA62" i="141"/>
  <c r="AI62" i="141"/>
  <c r="N30" i="141"/>
  <c r="X34" i="141"/>
  <c r="BD36" i="141"/>
  <c r="AL39" i="141"/>
  <c r="AZ40" i="141"/>
  <c r="AT41" i="141"/>
  <c r="AM42" i="141"/>
  <c r="W43" i="141"/>
  <c r="BC43" i="141"/>
  <c r="AM44" i="141"/>
  <c r="W45" i="141"/>
  <c r="BC45" i="141"/>
  <c r="AM46" i="141"/>
  <c r="W47" i="141"/>
  <c r="BC47" i="141"/>
  <c r="AM48" i="141"/>
  <c r="W49" i="141"/>
  <c r="BC49" i="141"/>
  <c r="AK50" i="141"/>
  <c r="BG50" i="141"/>
  <c r="AD51" i="141"/>
  <c r="AT51" i="141"/>
  <c r="BH51" i="141"/>
  <c r="T52" i="141"/>
  <c r="AB52" i="141"/>
  <c r="AJ52" i="141"/>
  <c r="AR52" i="141"/>
  <c r="AZ52" i="141"/>
  <c r="BH52" i="141"/>
  <c r="T53" i="141"/>
  <c r="AB53" i="141"/>
  <c r="AJ53" i="141"/>
  <c r="AR53" i="141"/>
  <c r="AZ53" i="141"/>
  <c r="BH53" i="141"/>
  <c r="T54" i="141"/>
  <c r="AB54" i="141"/>
  <c r="AJ54" i="141"/>
  <c r="AR54" i="141"/>
  <c r="AZ54" i="141"/>
  <c r="BH54" i="141"/>
  <c r="T55" i="141"/>
  <c r="AB55" i="141"/>
  <c r="AJ55" i="141"/>
  <c r="AR55" i="141"/>
  <c r="AZ55" i="141"/>
  <c r="BH55" i="141"/>
  <c r="T56" i="141"/>
  <c r="AB56" i="141"/>
  <c r="AJ56" i="141"/>
  <c r="AR56" i="141"/>
  <c r="AZ56" i="141"/>
  <c r="BH56" i="141"/>
  <c r="T57" i="141"/>
  <c r="AB57" i="141"/>
  <c r="AJ57" i="141"/>
  <c r="AR57" i="141"/>
  <c r="AZ57" i="141"/>
  <c r="BH57" i="141"/>
  <c r="T58" i="141"/>
  <c r="AB58" i="141"/>
  <c r="AJ58" i="141"/>
  <c r="AR58" i="141"/>
  <c r="AZ58" i="141"/>
  <c r="BH58" i="141"/>
  <c r="T59" i="141"/>
  <c r="AB59" i="141"/>
  <c r="AJ59" i="141"/>
  <c r="AR59" i="141"/>
  <c r="AZ59" i="141"/>
  <c r="BH59" i="141"/>
  <c r="T60" i="141"/>
  <c r="AB60" i="141"/>
  <c r="AJ60" i="141"/>
  <c r="BE31" i="141"/>
  <c r="BD34" i="141"/>
  <c r="AN37" i="141"/>
  <c r="BD39" i="141"/>
  <c r="N41" i="141"/>
  <c r="BD41" i="141"/>
  <c r="AU42" i="141"/>
  <c r="AE43" i="141"/>
  <c r="O44" i="141"/>
  <c r="AU44" i="141"/>
  <c r="AE45" i="141"/>
  <c r="O46" i="141"/>
  <c r="AU46" i="141"/>
  <c r="AE47" i="141"/>
  <c r="O48" i="141"/>
  <c r="AU48" i="141"/>
  <c r="AE49" i="141"/>
  <c r="O50" i="141"/>
  <c r="AQ50" i="141"/>
  <c r="O51" i="141"/>
  <c r="AI51" i="141"/>
  <c r="AY51" i="141"/>
  <c r="N52" i="141"/>
  <c r="V52" i="141"/>
  <c r="AD52" i="141"/>
  <c r="AL52" i="141"/>
  <c r="AT52" i="141"/>
  <c r="BB52" i="141"/>
  <c r="N53" i="141"/>
  <c r="V53" i="141"/>
  <c r="AD53" i="141"/>
  <c r="AL53" i="141"/>
  <c r="AT53" i="141"/>
  <c r="BB53" i="141"/>
  <c r="N54" i="141"/>
  <c r="V54" i="141"/>
  <c r="AD54" i="141"/>
  <c r="AL54" i="141"/>
  <c r="AT54" i="141"/>
  <c r="BB54" i="141"/>
  <c r="N55" i="141"/>
  <c r="V55" i="141"/>
  <c r="AD55" i="141"/>
  <c r="AL55" i="141"/>
  <c r="AT55" i="141"/>
  <c r="BB55" i="141"/>
  <c r="N56" i="141"/>
  <c r="V56" i="141"/>
  <c r="AD56" i="141"/>
  <c r="AL56" i="141"/>
  <c r="AT56" i="141"/>
  <c r="BB56" i="141"/>
  <c r="N57" i="141"/>
  <c r="V57" i="141"/>
  <c r="AD57" i="141"/>
  <c r="AL57" i="141"/>
  <c r="AT57" i="141"/>
  <c r="BB57" i="141"/>
  <c r="N58" i="141"/>
  <c r="V58" i="141"/>
  <c r="AD58" i="141"/>
  <c r="AL58" i="141"/>
  <c r="AT58" i="141"/>
  <c r="BB58" i="141"/>
  <c r="N59" i="141"/>
  <c r="V59" i="141"/>
  <c r="AD59" i="141"/>
  <c r="AL59" i="141"/>
  <c r="AT59" i="141"/>
  <c r="BB59" i="141"/>
  <c r="N60" i="141"/>
  <c r="V60" i="141"/>
  <c r="AD60" i="141"/>
  <c r="AL60" i="141"/>
  <c r="AT60" i="141"/>
  <c r="BB60" i="141"/>
  <c r="N61" i="141"/>
  <c r="V61" i="141"/>
  <c r="AD61" i="141"/>
  <c r="AL61" i="141"/>
  <c r="AT61" i="141"/>
  <c r="BB61" i="141"/>
  <c r="N62" i="141"/>
  <c r="V62" i="141"/>
  <c r="AD62" i="141"/>
  <c r="AR32" i="141"/>
  <c r="V41" i="141"/>
  <c r="U44" i="141"/>
  <c r="U46" i="141"/>
  <c r="AS49" i="141"/>
  <c r="S51" i="141"/>
  <c r="AG52" i="141"/>
  <c r="BC52" i="141"/>
  <c r="AC53" i="141"/>
  <c r="AW53" i="141"/>
  <c r="W54" i="141"/>
  <c r="AS54" i="141"/>
  <c r="Q55" i="141"/>
  <c r="AM55" i="141"/>
  <c r="AG56" i="141"/>
  <c r="BC56" i="141"/>
  <c r="AC57" i="141"/>
  <c r="AW57" i="141"/>
  <c r="W58" i="141"/>
  <c r="AS58" i="141"/>
  <c r="Q59" i="141"/>
  <c r="AM59" i="141"/>
  <c r="AG60" i="141"/>
  <c r="AZ60" i="141"/>
  <c r="T61" i="141"/>
  <c r="AJ61" i="141"/>
  <c r="AZ61" i="141"/>
  <c r="Q62" i="141"/>
  <c r="AE62" i="141"/>
  <c r="AO62" i="141"/>
  <c r="AY62" i="141"/>
  <c r="BH62" i="141"/>
  <c r="U63" i="141"/>
  <c r="AC63" i="141"/>
  <c r="AK63" i="141"/>
  <c r="AS63" i="141"/>
  <c r="BA63" i="141"/>
  <c r="U64" i="141"/>
  <c r="AC64" i="141"/>
  <c r="AK64" i="141"/>
  <c r="AS64" i="141"/>
  <c r="BA64" i="141"/>
  <c r="U65" i="141"/>
  <c r="AC65" i="141"/>
  <c r="AK65" i="141"/>
  <c r="AS65" i="141"/>
  <c r="BA65" i="141"/>
  <c r="U66" i="141"/>
  <c r="AC66" i="141"/>
  <c r="AK66" i="141"/>
  <c r="AS66" i="141"/>
  <c r="BA66" i="141"/>
  <c r="U67" i="141"/>
  <c r="AC67" i="141"/>
  <c r="AK67" i="141"/>
  <c r="AS67" i="141"/>
  <c r="BA67" i="141"/>
  <c r="U68" i="141"/>
  <c r="AC68" i="141"/>
  <c r="AK68" i="141"/>
  <c r="AS68" i="141"/>
  <c r="BA68" i="141"/>
  <c r="U69" i="141"/>
  <c r="AC69" i="141"/>
  <c r="AK69" i="141"/>
  <c r="AS69" i="141"/>
  <c r="BA69" i="141"/>
  <c r="U70" i="141"/>
  <c r="AC70" i="141"/>
  <c r="AK70" i="141"/>
  <c r="AS70" i="141"/>
  <c r="BA70" i="141"/>
  <c r="N9" i="141"/>
  <c r="V9" i="141"/>
  <c r="AD9" i="141"/>
  <c r="AL9" i="141"/>
  <c r="AT9" i="141"/>
  <c r="BB9" i="141"/>
  <c r="AV34" i="141"/>
  <c r="BB41" i="141"/>
  <c r="AS44" i="141"/>
  <c r="AC46" i="141"/>
  <c r="U48" i="141"/>
  <c r="W51" i="141"/>
  <c r="O52" i="141"/>
  <c r="AK52" i="141"/>
  <c r="BE52" i="141"/>
  <c r="AE53" i="141"/>
  <c r="BA53" i="141"/>
  <c r="Y54" i="141"/>
  <c r="AU54" i="141"/>
  <c r="U55" i="141"/>
  <c r="AO55" i="141"/>
  <c r="O56" i="141"/>
  <c r="AK56" i="141"/>
  <c r="BE56" i="141"/>
  <c r="AE57" i="141"/>
  <c r="BA57" i="141"/>
  <c r="Y58" i="141"/>
  <c r="AU58" i="141"/>
  <c r="U59" i="141"/>
  <c r="AO59" i="141"/>
  <c r="O60" i="141"/>
  <c r="AK60" i="141"/>
  <c r="BA60" i="141"/>
  <c r="U61" i="141"/>
  <c r="AK61" i="141"/>
  <c r="BA61" i="141"/>
  <c r="T62" i="141"/>
  <c r="AF62" i="141"/>
  <c r="AQ62" i="141"/>
  <c r="AZ62" i="141"/>
  <c r="V63" i="141"/>
  <c r="AD63" i="141"/>
  <c r="AL63" i="141"/>
  <c r="AT63" i="141"/>
  <c r="BB63" i="141"/>
  <c r="N64" i="141"/>
  <c r="V64" i="141"/>
  <c r="AD64" i="141"/>
  <c r="AL64" i="141"/>
  <c r="AT64" i="141"/>
  <c r="BB64" i="141"/>
  <c r="N65" i="141"/>
  <c r="V65" i="141"/>
  <c r="AD65" i="141"/>
  <c r="AL65" i="141"/>
  <c r="AT65" i="141"/>
  <c r="BB65" i="141"/>
  <c r="N66" i="141"/>
  <c r="V66" i="141"/>
  <c r="AD66" i="141"/>
  <c r="AL66" i="141"/>
  <c r="AT66" i="141"/>
  <c r="BB66" i="141"/>
  <c r="N67" i="141"/>
  <c r="V67" i="141"/>
  <c r="AD67" i="141"/>
  <c r="AL67" i="141"/>
  <c r="AT67" i="141"/>
  <c r="BB67" i="141"/>
  <c r="N68" i="141"/>
  <c r="V68" i="141"/>
  <c r="AD68" i="141"/>
  <c r="AL68" i="141"/>
  <c r="AT68" i="141"/>
  <c r="BB68" i="141"/>
  <c r="N69" i="141"/>
  <c r="V69" i="141"/>
  <c r="AD69" i="141"/>
  <c r="AL69" i="141"/>
  <c r="AT69" i="141"/>
  <c r="BB69" i="141"/>
  <c r="N70" i="141"/>
  <c r="V70" i="141"/>
  <c r="AD70" i="141"/>
  <c r="AF35" i="141"/>
  <c r="P42" i="141"/>
  <c r="BA44" i="141"/>
  <c r="AS46" i="141"/>
  <c r="AC48" i="141"/>
  <c r="U50" i="141"/>
  <c r="AE51" i="141"/>
  <c r="Q52" i="141"/>
  <c r="AM52" i="141"/>
  <c r="AG53" i="141"/>
  <c r="BC53" i="141"/>
  <c r="AC54" i="141"/>
  <c r="AW54" i="141"/>
  <c r="W55" i="141"/>
  <c r="AS55" i="141"/>
  <c r="Q56" i="141"/>
  <c r="AM56" i="141"/>
  <c r="AG57" i="141"/>
  <c r="BC57" i="141"/>
  <c r="AC58" i="141"/>
  <c r="AW58" i="141"/>
  <c r="W59" i="141"/>
  <c r="AS59" i="141"/>
  <c r="Q60" i="141"/>
  <c r="AM60" i="141"/>
  <c r="BC60" i="141"/>
  <c r="W61" i="141"/>
  <c r="AM61" i="141"/>
  <c r="BC61" i="141"/>
  <c r="U62" i="141"/>
  <c r="AG62" i="141"/>
  <c r="AR62" i="141"/>
  <c r="BA62" i="141"/>
  <c r="N63" i="141"/>
  <c r="W63" i="141"/>
  <c r="AE63" i="141"/>
  <c r="AM63" i="141"/>
  <c r="AU63" i="141"/>
  <c r="BC63" i="141"/>
  <c r="O64" i="141"/>
  <c r="W64" i="141"/>
  <c r="AE64" i="141"/>
  <c r="AM64" i="141"/>
  <c r="AU64" i="141"/>
  <c r="BC64" i="141"/>
  <c r="O65" i="141"/>
  <c r="W65" i="141"/>
  <c r="AE65" i="141"/>
  <c r="AM65" i="141"/>
  <c r="AU65" i="141"/>
  <c r="BC65" i="141"/>
  <c r="O66" i="141"/>
  <c r="W66" i="141"/>
  <c r="AE66" i="141"/>
  <c r="AM66" i="141"/>
  <c r="AU66" i="141"/>
  <c r="BC66" i="141"/>
  <c r="O67" i="141"/>
  <c r="W67" i="141"/>
  <c r="AE67" i="141"/>
  <c r="AM67" i="141"/>
  <c r="AU67" i="141"/>
  <c r="BC67" i="141"/>
  <c r="O68" i="141"/>
  <c r="W68" i="141"/>
  <c r="AE68" i="141"/>
  <c r="AM68" i="141"/>
  <c r="AU68" i="141"/>
  <c r="BC68" i="141"/>
  <c r="O69" i="141"/>
  <c r="W69" i="141"/>
  <c r="AE69" i="141"/>
  <c r="AM69" i="141"/>
  <c r="AU69" i="141"/>
  <c r="BC69" i="141"/>
  <c r="O70" i="141"/>
  <c r="W70" i="141"/>
  <c r="AE70" i="141"/>
  <c r="AM70" i="141"/>
  <c r="AU70" i="141"/>
  <c r="BC70" i="141"/>
  <c r="P9" i="141"/>
  <c r="X9" i="141"/>
  <c r="AF9" i="141"/>
  <c r="AN9" i="141"/>
  <c r="AV9" i="141"/>
  <c r="BD9" i="141"/>
  <c r="AF37" i="141"/>
  <c r="AS42" i="141"/>
  <c r="BA46" i="141"/>
  <c r="AS48" i="141"/>
  <c r="AC50" i="141"/>
  <c r="AK51" i="141"/>
  <c r="U52" i="141"/>
  <c r="AO52" i="141"/>
  <c r="O53" i="141"/>
  <c r="AK53" i="141"/>
  <c r="BE53" i="141"/>
  <c r="AE54" i="141"/>
  <c r="BA54" i="141"/>
  <c r="Y55" i="141"/>
  <c r="AU55" i="141"/>
  <c r="U56" i="141"/>
  <c r="AO56" i="141"/>
  <c r="O57" i="141"/>
  <c r="AK57" i="141"/>
  <c r="BE57" i="141"/>
  <c r="AE58" i="141"/>
  <c r="BA58" i="141"/>
  <c r="Y59" i="141"/>
  <c r="AU59" i="141"/>
  <c r="U60" i="141"/>
  <c r="AO60" i="141"/>
  <c r="BE60" i="141"/>
  <c r="Y61" i="141"/>
  <c r="AO61" i="141"/>
  <c r="BE61" i="141"/>
  <c r="W62" i="141"/>
  <c r="AJ62" i="141"/>
  <c r="AS62" i="141"/>
  <c r="BB62" i="141"/>
  <c r="O63" i="141"/>
  <c r="X63" i="141"/>
  <c r="AF63" i="141"/>
  <c r="AN63" i="141"/>
  <c r="AV63" i="141"/>
  <c r="BD63" i="141"/>
  <c r="P64" i="141"/>
  <c r="X64" i="141"/>
  <c r="AF64" i="141"/>
  <c r="AN64" i="141"/>
  <c r="AV64" i="141"/>
  <c r="BD64" i="141"/>
  <c r="P65" i="141"/>
  <c r="X65" i="141"/>
  <c r="AF65" i="141"/>
  <c r="AN65" i="141"/>
  <c r="AV65" i="141"/>
  <c r="BD65" i="141"/>
  <c r="P66" i="141"/>
  <c r="X66" i="141"/>
  <c r="AF66" i="141"/>
  <c r="AN66" i="141"/>
  <c r="AV66" i="141"/>
  <c r="BD66" i="141"/>
  <c r="P67" i="141"/>
  <c r="X67" i="141"/>
  <c r="AF67" i="141"/>
  <c r="AN67" i="141"/>
  <c r="AV67" i="141"/>
  <c r="BD67" i="141"/>
  <c r="P68" i="141"/>
  <c r="X68" i="141"/>
  <c r="AF68" i="141"/>
  <c r="AN68" i="141"/>
  <c r="AV68" i="141"/>
  <c r="BD68" i="141"/>
  <c r="P69" i="141"/>
  <c r="X69" i="141"/>
  <c r="AF69" i="141"/>
  <c r="AN69" i="141"/>
  <c r="AV69" i="141"/>
  <c r="BD69" i="141"/>
  <c r="P70" i="141"/>
  <c r="X70" i="141"/>
  <c r="AF70" i="141"/>
  <c r="AN70" i="141"/>
  <c r="AV70" i="141"/>
  <c r="BD70" i="141"/>
  <c r="Q9" i="141"/>
  <c r="Y9" i="141"/>
  <c r="BA39" i="141"/>
  <c r="AC43" i="141"/>
  <c r="AK45" i="141"/>
  <c r="AC47" i="141"/>
  <c r="AS50" i="141"/>
  <c r="AU51" i="141"/>
  <c r="Y52" i="141"/>
  <c r="AU52" i="141"/>
  <c r="U53" i="141"/>
  <c r="AO53" i="141"/>
  <c r="O54" i="141"/>
  <c r="AK54" i="141"/>
  <c r="BE54" i="141"/>
  <c r="AE55" i="141"/>
  <c r="BA55" i="141"/>
  <c r="Y56" i="141"/>
  <c r="AU56" i="141"/>
  <c r="U57" i="141"/>
  <c r="AO57" i="141"/>
  <c r="O58" i="141"/>
  <c r="AK58" i="141"/>
  <c r="BE58" i="141"/>
  <c r="AE59" i="141"/>
  <c r="BA59" i="141"/>
  <c r="Y60" i="141"/>
  <c r="AS60" i="141"/>
  <c r="AC61" i="141"/>
  <c r="AS61" i="141"/>
  <c r="Y62" i="141"/>
  <c r="AL62" i="141"/>
  <c r="AU62" i="141"/>
  <c r="BD62" i="141"/>
  <c r="Q63" i="141"/>
  <c r="Z63" i="141"/>
  <c r="AH63" i="141"/>
  <c r="AP63" i="141"/>
  <c r="AX63" i="141"/>
  <c r="BF63" i="141"/>
  <c r="R64" i="141"/>
  <c r="Z64" i="141"/>
  <c r="AH64" i="141"/>
  <c r="AP64" i="141"/>
  <c r="AX64" i="141"/>
  <c r="BF64" i="141"/>
  <c r="R65" i="141"/>
  <c r="Z65" i="141"/>
  <c r="AH65" i="141"/>
  <c r="AP65" i="141"/>
  <c r="AX65" i="141"/>
  <c r="BF65" i="141"/>
  <c r="R66" i="141"/>
  <c r="Z66" i="141"/>
  <c r="AH66" i="141"/>
  <c r="AP66" i="141"/>
  <c r="AX66" i="141"/>
  <c r="BF66" i="141"/>
  <c r="R67" i="141"/>
  <c r="Z67" i="141"/>
  <c r="AH67" i="141"/>
  <c r="AP67" i="141"/>
  <c r="AX67" i="141"/>
  <c r="BF67" i="141"/>
  <c r="R68" i="141"/>
  <c r="Z68" i="141"/>
  <c r="AH68" i="141"/>
  <c r="AP68" i="141"/>
  <c r="AX68" i="141"/>
  <c r="BF68" i="141"/>
  <c r="R69" i="141"/>
  <c r="Z69" i="141"/>
  <c r="AH69" i="141"/>
  <c r="AP69" i="141"/>
  <c r="AX69" i="141"/>
  <c r="BF69" i="141"/>
  <c r="R70" i="141"/>
  <c r="Z70" i="141"/>
  <c r="AH70" i="141"/>
  <c r="AP70" i="141"/>
  <c r="AX70" i="141"/>
  <c r="BF70" i="141"/>
  <c r="S9" i="141"/>
  <c r="AA9" i="141"/>
  <c r="AO31" i="141"/>
  <c r="AS45" i="141"/>
  <c r="AM50" i="141"/>
  <c r="AE52" i="141"/>
  <c r="AS53" i="141"/>
  <c r="BC54" i="141"/>
  <c r="BE55" i="141"/>
  <c r="W57" i="141"/>
  <c r="AG58" i="141"/>
  <c r="AK59" i="141"/>
  <c r="AU60" i="141"/>
  <c r="AR61" i="141"/>
  <c r="AC62" i="141"/>
  <c r="BE62" i="141"/>
  <c r="AG63" i="141"/>
  <c r="AZ63" i="141"/>
  <c r="AA64" i="141"/>
  <c r="AW64" i="141"/>
  <c r="T65" i="141"/>
  <c r="AQ65" i="141"/>
  <c r="Q66" i="141"/>
  <c r="AJ66" i="141"/>
  <c r="BG66" i="141"/>
  <c r="AG67" i="141"/>
  <c r="AZ67" i="141"/>
  <c r="AA68" i="141"/>
  <c r="AW68" i="141"/>
  <c r="T69" i="141"/>
  <c r="AQ69" i="141"/>
  <c r="Q70" i="141"/>
  <c r="AJ70" i="141"/>
  <c r="AZ70" i="141"/>
  <c r="U9" i="141"/>
  <c r="AI9" i="141"/>
  <c r="AS9" i="141"/>
  <c r="BE9" i="141"/>
  <c r="AS47" i="141"/>
  <c r="AW66" i="141"/>
  <c r="BH70" i="141"/>
  <c r="BA48" i="141"/>
  <c r="AV62" i="141"/>
  <c r="AR63" i="141"/>
  <c r="BH64" i="141"/>
  <c r="AY66" i="141"/>
  <c r="BH68" i="141"/>
  <c r="AP9" i="141"/>
  <c r="P38" i="141"/>
  <c r="AY50" i="141"/>
  <c r="AS52" i="141"/>
  <c r="AU53" i="141"/>
  <c r="W56" i="141"/>
  <c r="Y57" i="141"/>
  <c r="AM58" i="141"/>
  <c r="AW59" i="141"/>
  <c r="AW60" i="141"/>
  <c r="AU61" i="141"/>
  <c r="AK62" i="141"/>
  <c r="BG62" i="141"/>
  <c r="AI63" i="141"/>
  <c r="BE63" i="141"/>
  <c r="AB64" i="141"/>
  <c r="AY64" i="141"/>
  <c r="Y65" i="141"/>
  <c r="AR65" i="141"/>
  <c r="S66" i="141"/>
  <c r="AO66" i="141"/>
  <c r="BH66" i="141"/>
  <c r="AI67" i="141"/>
  <c r="BE67" i="141"/>
  <c r="AB68" i="141"/>
  <c r="AY68" i="141"/>
  <c r="Y69" i="141"/>
  <c r="AR69" i="141"/>
  <c r="S70" i="141"/>
  <c r="AL70" i="141"/>
  <c r="BB70" i="141"/>
  <c r="W9" i="141"/>
  <c r="AJ9" i="141"/>
  <c r="AU9" i="141"/>
  <c r="BF9" i="141"/>
  <c r="Q53" i="141"/>
  <c r="AA70" i="141"/>
  <c r="AC60" i="141"/>
  <c r="BE65" i="141"/>
  <c r="S68" i="141"/>
  <c r="BE69" i="141"/>
  <c r="AE9" i="141"/>
  <c r="AZ9" i="141"/>
  <c r="U40" i="141"/>
  <c r="AW52" i="141"/>
  <c r="O55" i="141"/>
  <c r="AC56" i="141"/>
  <c r="AM57" i="141"/>
  <c r="AO58" i="141"/>
  <c r="BC59" i="141"/>
  <c r="BH60" i="141"/>
  <c r="AW61" i="141"/>
  <c r="AM62" i="141"/>
  <c r="P63" i="141"/>
  <c r="AJ63" i="141"/>
  <c r="BG63" i="141"/>
  <c r="AG64" i="141"/>
  <c r="AZ64" i="141"/>
  <c r="AA65" i="141"/>
  <c r="AW65" i="141"/>
  <c r="T66" i="141"/>
  <c r="AQ66" i="141"/>
  <c r="Q67" i="141"/>
  <c r="AJ67" i="141"/>
  <c r="BG67" i="141"/>
  <c r="AG68" i="141"/>
  <c r="AZ68" i="141"/>
  <c r="AA69" i="141"/>
  <c r="AW69" i="141"/>
  <c r="T70" i="141"/>
  <c r="AO70" i="141"/>
  <c r="BE70" i="141"/>
  <c r="Z9" i="141"/>
  <c r="AK9" i="141"/>
  <c r="AW9" i="141"/>
  <c r="BG9" i="141"/>
  <c r="BA42" i="141"/>
  <c r="U54" i="141"/>
  <c r="AG55" i="141"/>
  <c r="AS56" i="141"/>
  <c r="AU57" i="141"/>
  <c r="W60" i="141"/>
  <c r="Q61" i="141"/>
  <c r="O62" i="141"/>
  <c r="AT62" i="141"/>
  <c r="T63" i="141"/>
  <c r="AQ63" i="141"/>
  <c r="Q64" i="141"/>
  <c r="AJ64" i="141"/>
  <c r="BG64" i="141"/>
  <c r="AG65" i="141"/>
  <c r="AZ65" i="141"/>
  <c r="AA66" i="141"/>
  <c r="T67" i="141"/>
  <c r="Q68" i="141"/>
  <c r="AJ68" i="141"/>
  <c r="BG68" i="141"/>
  <c r="AZ69" i="141"/>
  <c r="AR70" i="141"/>
  <c r="AC9" i="141"/>
  <c r="AY9" i="141"/>
  <c r="AG54" i="141"/>
  <c r="S64" i="141"/>
  <c r="Y67" i="141"/>
  <c r="AB70" i="141"/>
  <c r="BH40" i="141"/>
  <c r="AK47" i="141"/>
  <c r="AM51" i="141"/>
  <c r="BA52" i="141"/>
  <c r="Q54" i="141"/>
  <c r="AC55" i="141"/>
  <c r="AE56" i="141"/>
  <c r="AS57" i="141"/>
  <c r="BC58" i="141"/>
  <c r="BE59" i="141"/>
  <c r="O61" i="141"/>
  <c r="BH61" i="141"/>
  <c r="AN62" i="141"/>
  <c r="S63" i="141"/>
  <c r="AO63" i="141"/>
  <c r="BH63" i="141"/>
  <c r="AI64" i="141"/>
  <c r="BE64" i="141"/>
  <c r="AB65" i="141"/>
  <c r="AY65" i="141"/>
  <c r="Y66" i="141"/>
  <c r="AR66" i="141"/>
  <c r="S67" i="141"/>
  <c r="AO67" i="141"/>
  <c r="BH67" i="141"/>
  <c r="AI68" i="141"/>
  <c r="BE68" i="141"/>
  <c r="AB69" i="141"/>
  <c r="AY69" i="141"/>
  <c r="Y70" i="141"/>
  <c r="AQ70" i="141"/>
  <c r="BG70" i="141"/>
  <c r="AB9" i="141"/>
  <c r="AM9" i="141"/>
  <c r="AX9" i="141"/>
  <c r="BH9" i="141"/>
  <c r="BA51" i="141"/>
  <c r="AQ67" i="141"/>
  <c r="AO9" i="141"/>
  <c r="BC51" i="141"/>
  <c r="P62" i="141"/>
  <c r="AI65" i="141"/>
  <c r="AO68" i="141"/>
  <c r="AT70" i="141"/>
  <c r="AG69" i="141"/>
  <c r="AK43" i="141"/>
  <c r="W53" i="141"/>
  <c r="AK55" i="141"/>
  <c r="AW56" i="141"/>
  <c r="O59" i="141"/>
  <c r="AB61" i="141"/>
  <c r="Y63" i="141"/>
  <c r="AO64" i="141"/>
  <c r="AB66" i="141"/>
  <c r="AR67" i="141"/>
  <c r="AI69" i="141"/>
  <c r="O9" i="141"/>
  <c r="AC49" i="141"/>
  <c r="W52" i="141"/>
  <c r="Y53" i="141"/>
  <c r="AM54" i="141"/>
  <c r="AW55" i="141"/>
  <c r="BA56" i="141"/>
  <c r="Q58" i="141"/>
  <c r="AC59" i="141"/>
  <c r="AE60" i="141"/>
  <c r="AE61" i="141"/>
  <c r="X62" i="141"/>
  <c r="AW62" i="141"/>
  <c r="AA63" i="141"/>
  <c r="AW63" i="141"/>
  <c r="T64" i="141"/>
  <c r="AQ64" i="141"/>
  <c r="Q65" i="141"/>
  <c r="AJ65" i="141"/>
  <c r="BG65" i="141"/>
  <c r="AG66" i="141"/>
  <c r="AZ66" i="141"/>
  <c r="AA67" i="141"/>
  <c r="AW67" i="141"/>
  <c r="T68" i="141"/>
  <c r="AQ68" i="141"/>
  <c r="Q69" i="141"/>
  <c r="AJ69" i="141"/>
  <c r="BG69" i="141"/>
  <c r="AG70" i="141"/>
  <c r="AW70" i="141"/>
  <c r="R9" i="141"/>
  <c r="AG9" i="141"/>
  <c r="AQ9" i="141"/>
  <c r="BA9" i="141"/>
  <c r="BC55" i="141"/>
  <c r="Q57" i="141"/>
  <c r="U58" i="141"/>
  <c r="AG59" i="141"/>
  <c r="AR60" i="141"/>
  <c r="AG61" i="141"/>
  <c r="AB62" i="141"/>
  <c r="BC62" i="141"/>
  <c r="AB63" i="141"/>
  <c r="AY63" i="141"/>
  <c r="Y64" i="141"/>
  <c r="AR64" i="141"/>
  <c r="S65" i="141"/>
  <c r="AO65" i="141"/>
  <c r="BH65" i="141"/>
  <c r="AI66" i="141"/>
  <c r="BE66" i="141"/>
  <c r="AB67" i="141"/>
  <c r="AY67" i="141"/>
  <c r="Y68" i="141"/>
  <c r="AR68" i="141"/>
  <c r="S69" i="141"/>
  <c r="AO69" i="141"/>
  <c r="BH69" i="141"/>
  <c r="AI70" i="141"/>
  <c r="AY70" i="141"/>
  <c r="T9" i="141"/>
  <c r="AH9" i="141"/>
  <c r="AR9" i="141"/>
  <c r="BC9" i="141"/>
  <c r="AC45" i="141"/>
  <c r="AK49" i="141"/>
  <c r="AC52" i="141"/>
  <c r="AM53" i="141"/>
  <c r="AO54" i="141"/>
  <c r="M7" i="141"/>
  <c r="C81" i="147"/>
  <c r="C84" i="147"/>
  <c r="C80" i="147"/>
  <c r="C83" i="147"/>
  <c r="C78" i="147"/>
  <c r="C79" i="147"/>
  <c r="C82" i="147"/>
  <c r="R64" i="152"/>
  <c r="E413" i="56"/>
  <c r="R72" i="141" l="1"/>
  <c r="T72" i="141"/>
  <c r="Y72" i="141"/>
  <c r="X72" i="141"/>
  <c r="W72" i="141"/>
  <c r="Q72" i="141"/>
  <c r="P72" i="141"/>
  <c r="U72" i="141"/>
  <c r="V72" i="141"/>
  <c r="N72" i="141"/>
  <c r="O72" i="141"/>
  <c r="S72" i="141"/>
  <c r="M24" i="141"/>
  <c r="BJ24" i="141" s="1"/>
  <c r="M25" i="141"/>
  <c r="BJ25" i="141" s="1"/>
  <c r="M26" i="141"/>
  <c r="BJ26" i="141" s="1"/>
  <c r="M27" i="141"/>
  <c r="BJ27" i="141" s="1"/>
  <c r="M28" i="141"/>
  <c r="BJ28" i="141" s="1"/>
  <c r="M29" i="141"/>
  <c r="BJ29" i="141" s="1"/>
  <c r="M30" i="141"/>
  <c r="BJ30" i="141" s="1"/>
  <c r="M31" i="141"/>
  <c r="BJ31" i="141" s="1"/>
  <c r="M32" i="141"/>
  <c r="BJ32" i="141" s="1"/>
  <c r="M33" i="141"/>
  <c r="BJ33" i="141" s="1"/>
  <c r="M10" i="141"/>
  <c r="BJ10" i="141" s="1"/>
  <c r="M12" i="141"/>
  <c r="BJ12" i="141" s="1"/>
  <c r="M14" i="141"/>
  <c r="BJ14" i="141" s="1"/>
  <c r="M16" i="141"/>
  <c r="BJ16" i="141" s="1"/>
  <c r="M18" i="141"/>
  <c r="BJ18" i="141" s="1"/>
  <c r="M20" i="141"/>
  <c r="BJ20" i="141" s="1"/>
  <c r="M22" i="141"/>
  <c r="BJ22" i="141" s="1"/>
  <c r="M23" i="141"/>
  <c r="BJ23" i="141" s="1"/>
  <c r="M11" i="141"/>
  <c r="BJ11" i="141" s="1"/>
  <c r="M13" i="141"/>
  <c r="BJ13" i="141" s="1"/>
  <c r="M15" i="141"/>
  <c r="BJ15" i="141" s="1"/>
  <c r="M17" i="141"/>
  <c r="BJ17" i="141" s="1"/>
  <c r="M19" i="141"/>
  <c r="BJ19" i="141" s="1"/>
  <c r="M21" i="141"/>
  <c r="BJ21" i="141" s="1"/>
  <c r="M34" i="141"/>
  <c r="BJ34" i="141" s="1"/>
  <c r="M35" i="141"/>
  <c r="BJ35" i="141" s="1"/>
  <c r="M36" i="141"/>
  <c r="BJ36" i="141" s="1"/>
  <c r="M37" i="141"/>
  <c r="BJ37" i="141" s="1"/>
  <c r="M38" i="141"/>
  <c r="BJ38" i="141" s="1"/>
  <c r="M39" i="141"/>
  <c r="BJ39" i="141" s="1"/>
  <c r="M40" i="141"/>
  <c r="BJ40" i="141" s="1"/>
  <c r="M42" i="141"/>
  <c r="BJ42" i="141" s="1"/>
  <c r="M41" i="141"/>
  <c r="BJ41" i="141" s="1"/>
  <c r="M43" i="141"/>
  <c r="BJ43" i="141" s="1"/>
  <c r="M48" i="141"/>
  <c r="BJ48" i="141" s="1"/>
  <c r="M52" i="141"/>
  <c r="BJ52" i="141" s="1"/>
  <c r="M56" i="141"/>
  <c r="BJ56" i="141" s="1"/>
  <c r="M60" i="141"/>
  <c r="BJ60" i="141" s="1"/>
  <c r="M64" i="141"/>
  <c r="BJ64" i="141" s="1"/>
  <c r="M65" i="141"/>
  <c r="BJ65" i="141" s="1"/>
  <c r="M66" i="141"/>
  <c r="BJ66" i="141" s="1"/>
  <c r="M67" i="141"/>
  <c r="BJ67" i="141" s="1"/>
  <c r="M68" i="141"/>
  <c r="BJ68" i="141" s="1"/>
  <c r="M69" i="141"/>
  <c r="BJ69" i="141" s="1"/>
  <c r="M70" i="141"/>
  <c r="BJ70" i="141" s="1"/>
  <c r="M50" i="141"/>
  <c r="BJ50" i="141" s="1"/>
  <c r="M63" i="141"/>
  <c r="BJ63" i="141" s="1"/>
  <c r="M53" i="141"/>
  <c r="BJ53" i="141" s="1"/>
  <c r="M57" i="141"/>
  <c r="BJ57" i="141" s="1"/>
  <c r="M45" i="141"/>
  <c r="BJ45" i="141" s="1"/>
  <c r="M49" i="141"/>
  <c r="BJ49" i="141" s="1"/>
  <c r="M61" i="141"/>
  <c r="BJ61" i="141" s="1"/>
  <c r="M62" i="141"/>
  <c r="BJ62" i="141" s="1"/>
  <c r="M58" i="141"/>
  <c r="BJ58" i="141" s="1"/>
  <c r="M46" i="141"/>
  <c r="BJ46" i="141" s="1"/>
  <c r="M55" i="141"/>
  <c r="BJ55" i="141" s="1"/>
  <c r="M47" i="141"/>
  <c r="BJ47" i="141" s="1"/>
  <c r="M51" i="141"/>
  <c r="BJ51" i="141" s="1"/>
  <c r="M54" i="141"/>
  <c r="BJ54" i="141" s="1"/>
  <c r="M59" i="141"/>
  <c r="BJ59" i="141" s="1"/>
  <c r="M44" i="141"/>
  <c r="BJ44" i="141" s="1"/>
  <c r="M9" i="141"/>
  <c r="BJ9" i="141" s="1"/>
  <c r="C77" i="147"/>
  <c r="Q64" i="152"/>
  <c r="P64" i="152"/>
  <c r="N64" i="152"/>
  <c r="K64" i="152"/>
  <c r="O64" i="152"/>
  <c r="M64" i="152"/>
  <c r="L64" i="152"/>
  <c r="R79" i="152"/>
  <c r="R67" i="152"/>
  <c r="R77" i="152"/>
  <c r="R80" i="152"/>
  <c r="R70" i="152"/>
  <c r="R74" i="152"/>
  <c r="R75" i="152"/>
  <c r="R83" i="152"/>
  <c r="R85" i="152"/>
  <c r="R81" i="152"/>
  <c r="R72" i="152"/>
  <c r="R76" i="152"/>
  <c r="R84" i="152"/>
  <c r="R73" i="152"/>
  <c r="R66" i="152"/>
  <c r="R71" i="152"/>
  <c r="R68" i="152"/>
  <c r="R82" i="152"/>
  <c r="R78" i="152"/>
  <c r="R69" i="152"/>
  <c r="D23" i="65"/>
  <c r="E38" i="140"/>
  <c r="J20" i="140"/>
  <c r="L18" i="140"/>
  <c r="L17" i="140"/>
  <c r="L16" i="140"/>
  <c r="L15" i="140"/>
  <c r="L14" i="140"/>
  <c r="L13" i="140"/>
  <c r="L12" i="140"/>
  <c r="L11" i="140"/>
  <c r="L10" i="140"/>
  <c r="B10" i="140"/>
  <c r="B11" i="140" s="1"/>
  <c r="B12" i="140" s="1"/>
  <c r="B13" i="140" s="1"/>
  <c r="B14" i="140" s="1"/>
  <c r="B15" i="140" s="1"/>
  <c r="B16" i="140" s="1"/>
  <c r="B17" i="140" s="1"/>
  <c r="B18" i="140" s="1"/>
  <c r="K9" i="140"/>
  <c r="L9" i="140" s="1"/>
  <c r="B44" i="139"/>
  <c r="B45" i="139" s="1"/>
  <c r="B46" i="139" s="1"/>
  <c r="B47" i="139" s="1"/>
  <c r="B48" i="139" s="1"/>
  <c r="B49" i="139" s="1"/>
  <c r="B50" i="139" s="1"/>
  <c r="B51" i="139" s="1"/>
  <c r="B52" i="139" s="1"/>
  <c r="B27" i="139"/>
  <c r="B28" i="139" s="1"/>
  <c r="B29" i="139" s="1"/>
  <c r="B30" i="139" s="1"/>
  <c r="B31" i="139" s="1"/>
  <c r="B32" i="139" s="1"/>
  <c r="B33" i="139" s="1"/>
  <c r="B34" i="139" s="1"/>
  <c r="B35" i="139" s="1"/>
  <c r="F37" i="139"/>
  <c r="G650" i="56" s="1"/>
  <c r="L650" i="56" s="1"/>
  <c r="B650" i="56" s="1"/>
  <c r="B10" i="139"/>
  <c r="B11" i="139" s="1"/>
  <c r="B12" i="139" s="1"/>
  <c r="B13" i="139" s="1"/>
  <c r="B14" i="139" s="1"/>
  <c r="B15" i="139" s="1"/>
  <c r="B16" i="139" s="1"/>
  <c r="B17" i="139" s="1"/>
  <c r="B18" i="139" s="1"/>
  <c r="O79" i="152" l="1"/>
  <c r="L69" i="152"/>
  <c r="N81" i="152"/>
  <c r="P80" i="152"/>
  <c r="Q69" i="152"/>
  <c r="M69" i="152"/>
  <c r="K78" i="152"/>
  <c r="K83" i="152"/>
  <c r="K71" i="152"/>
  <c r="K85" i="152"/>
  <c r="K73" i="152"/>
  <c r="K84" i="152"/>
  <c r="Q68" i="152"/>
  <c r="K70" i="152"/>
  <c r="K80" i="152"/>
  <c r="O70" i="152"/>
  <c r="O72" i="152"/>
  <c r="P74" i="152"/>
  <c r="P85" i="152"/>
  <c r="P79" i="152"/>
  <c r="K66" i="152"/>
  <c r="K68" i="152"/>
  <c r="K72" i="152"/>
  <c r="N84" i="152"/>
  <c r="N66" i="152"/>
  <c r="K69" i="152"/>
  <c r="K76" i="152"/>
  <c r="N72" i="152"/>
  <c r="Q70" i="152"/>
  <c r="N79" i="152"/>
  <c r="N83" i="152"/>
  <c r="N80" i="152"/>
  <c r="P68" i="152"/>
  <c r="P84" i="152"/>
  <c r="P71" i="152"/>
  <c r="P81" i="152"/>
  <c r="P83" i="152"/>
  <c r="P73" i="152"/>
  <c r="P76" i="152"/>
  <c r="P77" i="152"/>
  <c r="P67" i="152"/>
  <c r="P66" i="152"/>
  <c r="K81" i="152"/>
  <c r="O76" i="152"/>
  <c r="P75" i="152"/>
  <c r="P72" i="152"/>
  <c r="K67" i="152"/>
  <c r="K75" i="152"/>
  <c r="Q66" i="152"/>
  <c r="O85" i="152"/>
  <c r="O80" i="152"/>
  <c r="Q81" i="152"/>
  <c r="O74" i="152"/>
  <c r="O71" i="152"/>
  <c r="P82" i="152"/>
  <c r="P69" i="152"/>
  <c r="N76" i="152"/>
  <c r="O81" i="152"/>
  <c r="O77" i="152"/>
  <c r="P78" i="152"/>
  <c r="P70" i="152"/>
  <c r="N78" i="152"/>
  <c r="O67" i="152"/>
  <c r="O84" i="152"/>
  <c r="Q73" i="152"/>
  <c r="O82" i="152"/>
  <c r="O69" i="152"/>
  <c r="O75" i="152"/>
  <c r="O73" i="152"/>
  <c r="N74" i="152"/>
  <c r="N85" i="152"/>
  <c r="N71" i="152"/>
  <c r="N67" i="152"/>
  <c r="N77" i="152"/>
  <c r="N70" i="152"/>
  <c r="N68" i="152"/>
  <c r="Q79" i="152"/>
  <c r="Q72" i="152"/>
  <c r="Q78" i="152"/>
  <c r="Q76" i="152"/>
  <c r="Q85" i="152"/>
  <c r="Q83" i="152"/>
  <c r="Q67" i="152"/>
  <c r="Q80" i="152"/>
  <c r="Q82" i="152"/>
  <c r="Q77" i="152"/>
  <c r="Q71" i="152"/>
  <c r="Q84" i="152"/>
  <c r="Q75" i="152"/>
  <c r="Q74" i="152"/>
  <c r="K74" i="152"/>
  <c r="K77" i="152"/>
  <c r="O66" i="152"/>
  <c r="O68" i="152"/>
  <c r="O78" i="152"/>
  <c r="O83" i="152"/>
  <c r="M67" i="152"/>
  <c r="K82" i="152"/>
  <c r="K79" i="152"/>
  <c r="L81" i="152"/>
  <c r="L84" i="152"/>
  <c r="L77" i="152"/>
  <c r="L73" i="152"/>
  <c r="L75" i="152"/>
  <c r="L79" i="152"/>
  <c r="L80" i="152"/>
  <c r="L71" i="152"/>
  <c r="L66" i="152"/>
  <c r="L83" i="152"/>
  <c r="M85" i="152"/>
  <c r="M83" i="152"/>
  <c r="M84" i="152"/>
  <c r="M74" i="152"/>
  <c r="M68" i="152"/>
  <c r="M73" i="152"/>
  <c r="N82" i="152"/>
  <c r="N75" i="152"/>
  <c r="L72" i="152"/>
  <c r="L78" i="152"/>
  <c r="L82" i="152"/>
  <c r="M75" i="152"/>
  <c r="M79" i="152"/>
  <c r="L68" i="152"/>
  <c r="L67" i="152"/>
  <c r="L76" i="152"/>
  <c r="M82" i="152"/>
  <c r="M80" i="152"/>
  <c r="M70" i="152"/>
  <c r="M76" i="152"/>
  <c r="M71" i="152"/>
  <c r="L70" i="152"/>
  <c r="L74" i="152"/>
  <c r="M66" i="152"/>
  <c r="M81" i="152"/>
  <c r="M78" i="152"/>
  <c r="N73" i="152"/>
  <c r="N69" i="152"/>
  <c r="L85" i="152"/>
  <c r="M77" i="152"/>
  <c r="M72" i="152"/>
  <c r="R87" i="152"/>
  <c r="H84" i="147" s="1"/>
  <c r="E128" i="56"/>
  <c r="H37" i="139"/>
  <c r="G652" i="56" s="1"/>
  <c r="L652" i="56" s="1"/>
  <c r="B652" i="56" s="1"/>
  <c r="G20" i="139"/>
  <c r="G643" i="56" s="1"/>
  <c r="J20" i="139"/>
  <c r="G646" i="56" s="1"/>
  <c r="K20" i="139"/>
  <c r="G647" i="56" s="1"/>
  <c r="L647" i="56" s="1"/>
  <c r="B647" i="56" s="1"/>
  <c r="F20" i="139"/>
  <c r="G642" i="56" s="1"/>
  <c r="H20" i="139"/>
  <c r="G644" i="56" s="1"/>
  <c r="I20" i="139"/>
  <c r="G645" i="56" s="1"/>
  <c r="G54" i="139"/>
  <c r="G656" i="56" s="1"/>
  <c r="P54" i="139"/>
  <c r="G665" i="56" s="1"/>
  <c r="I54" i="139"/>
  <c r="G658" i="56" s="1"/>
  <c r="J54" i="139"/>
  <c r="G659" i="56" s="1"/>
  <c r="E54" i="139"/>
  <c r="G654" i="56" s="1"/>
  <c r="M54" i="139"/>
  <c r="G662" i="56" s="1"/>
  <c r="G37" i="139"/>
  <c r="G651" i="56" s="1"/>
  <c r="L651" i="56" s="1"/>
  <c r="B651" i="56" s="1"/>
  <c r="F54" i="139"/>
  <c r="G655" i="56" s="1"/>
  <c r="N54" i="139"/>
  <c r="G663" i="56" s="1"/>
  <c r="H54" i="139"/>
  <c r="G657" i="56" s="1"/>
  <c r="F105" i="139"/>
  <c r="G684" i="56" s="1"/>
  <c r="L20" i="140"/>
  <c r="G696" i="56" s="1"/>
  <c r="K20" i="140"/>
  <c r="P87" i="152" l="1"/>
  <c r="H82" i="147" s="1"/>
  <c r="Q87" i="152"/>
  <c r="H83" i="147" s="1"/>
  <c r="O87" i="152"/>
  <c r="H81" i="147" s="1"/>
  <c r="K87" i="152"/>
  <c r="H77" i="147" s="1"/>
  <c r="M87" i="152"/>
  <c r="H79" i="147" s="1"/>
  <c r="N87" i="152"/>
  <c r="H80" i="147" s="1"/>
  <c r="L87" i="152"/>
  <c r="H78" i="147" s="1"/>
  <c r="E127" i="56"/>
  <c r="C45" i="147" s="1"/>
  <c r="E126" i="56"/>
  <c r="C44" i="147" s="1"/>
  <c r="E125" i="56"/>
  <c r="C43" i="147" s="1"/>
  <c r="E124" i="56"/>
  <c r="C42" i="147" s="1"/>
  <c r="E20" i="139"/>
  <c r="G641" i="56" s="1"/>
  <c r="I105" i="139"/>
  <c r="G687" i="56" s="1"/>
  <c r="H105" i="139"/>
  <c r="G686" i="56" s="1"/>
  <c r="L54" i="139"/>
  <c r="G661" i="56" s="1"/>
  <c r="L20" i="139"/>
  <c r="G648" i="56" s="1"/>
  <c r="L648" i="56" s="1"/>
  <c r="B648" i="56" s="1"/>
  <c r="K54" i="139"/>
  <c r="G660" i="56" s="1"/>
  <c r="J105" i="139"/>
  <c r="G688" i="56" s="1"/>
  <c r="E105" i="139"/>
  <c r="G683" i="56" s="1"/>
  <c r="O54" i="139"/>
  <c r="G664" i="56" s="1"/>
  <c r="I37" i="139"/>
  <c r="G653" i="56" s="1"/>
  <c r="L653" i="56" s="1"/>
  <c r="B653" i="56" s="1"/>
  <c r="G105" i="139"/>
  <c r="G685" i="56" s="1"/>
  <c r="E37" i="139"/>
  <c r="G649" i="56" s="1"/>
  <c r="J87" i="152" l="1"/>
  <c r="E123" i="56"/>
  <c r="C41" i="147" s="1"/>
  <c r="B57" i="77"/>
  <c r="B61" i="153"/>
  <c r="B62" i="153"/>
  <c r="B58" i="77"/>
  <c r="E392" i="56"/>
  <c r="C71" i="147" s="1"/>
  <c r="E391" i="56"/>
  <c r="C70" i="147" s="1"/>
  <c r="E388" i="56"/>
  <c r="C67" i="147" s="1"/>
  <c r="E387" i="56"/>
  <c r="C66" i="147" s="1"/>
  <c r="E389" i="56"/>
  <c r="E390" i="56"/>
  <c r="E370" i="56"/>
  <c r="C54" i="147" s="1"/>
  <c r="E368" i="56"/>
  <c r="C52" i="147" s="1"/>
  <c r="E373" i="56"/>
  <c r="C57" i="147" s="1"/>
  <c r="E365" i="56"/>
  <c r="C49" i="147" s="1"/>
  <c r="E371" i="56"/>
  <c r="C55" i="147" s="1"/>
  <c r="E372" i="56"/>
  <c r="C56" i="147" s="1"/>
  <c r="E366" i="56"/>
  <c r="C50" i="147" s="1"/>
  <c r="E369" i="56"/>
  <c r="C53" i="147" s="1"/>
  <c r="E367" i="56"/>
  <c r="C51" i="147" s="1"/>
  <c r="E364" i="56"/>
  <c r="C48" i="147" s="1"/>
  <c r="B56" i="77"/>
  <c r="B60" i="153"/>
  <c r="B55" i="77"/>
  <c r="B59" i="153"/>
  <c r="C68" i="147" l="1"/>
  <c r="C69" i="147"/>
  <c r="B58" i="153"/>
  <c r="B54" i="77"/>
  <c r="E386" i="56"/>
  <c r="C65" i="147" s="1"/>
  <c r="K35" i="152"/>
  <c r="E382" i="56"/>
  <c r="C63" i="147" s="1"/>
  <c r="E383" i="56"/>
  <c r="C64" i="147" s="1"/>
  <c r="E378" i="56"/>
  <c r="C59" i="147" s="1"/>
  <c r="E380" i="56"/>
  <c r="C61" i="147" s="1"/>
  <c r="E381" i="56"/>
  <c r="C62" i="147" s="1"/>
  <c r="E379" i="56"/>
  <c r="C60" i="147" s="1"/>
  <c r="E363" i="56"/>
  <c r="K123" i="152" l="1"/>
  <c r="O123" i="152"/>
  <c r="P123" i="152"/>
  <c r="Q123" i="152"/>
  <c r="L123" i="152"/>
  <c r="N123" i="152"/>
  <c r="M123" i="152"/>
  <c r="E377" i="56"/>
  <c r="C58" i="147" s="1"/>
  <c r="K44" i="152"/>
  <c r="K56" i="152"/>
  <c r="K39" i="152"/>
  <c r="K42" i="152"/>
  <c r="K45" i="152"/>
  <c r="K48" i="152"/>
  <c r="K50" i="152"/>
  <c r="K52" i="152"/>
  <c r="K55" i="152"/>
  <c r="K38" i="152"/>
  <c r="K40" i="152"/>
  <c r="K41" i="152"/>
  <c r="K43" i="152"/>
  <c r="K46" i="152"/>
  <c r="K47" i="152"/>
  <c r="K49" i="152"/>
  <c r="K51" i="152"/>
  <c r="K53" i="152"/>
  <c r="K54" i="152"/>
  <c r="K37" i="152"/>
  <c r="K6" i="152"/>
  <c r="S6" i="152"/>
  <c r="L6" i="152"/>
  <c r="T6" i="152"/>
  <c r="R6" i="152"/>
  <c r="M6" i="152"/>
  <c r="U6" i="152"/>
  <c r="N6" i="152"/>
  <c r="O6" i="152"/>
  <c r="P6" i="152"/>
  <c r="Q6" i="152"/>
  <c r="M17" i="152" l="1"/>
  <c r="M18" i="152"/>
  <c r="O132" i="152"/>
  <c r="O140" i="152"/>
  <c r="O130" i="152"/>
  <c r="O138" i="152"/>
  <c r="O125" i="152"/>
  <c r="O131" i="152"/>
  <c r="O139" i="152"/>
  <c r="O129" i="152"/>
  <c r="O137" i="152"/>
  <c r="O128" i="152"/>
  <c r="O136" i="152"/>
  <c r="O144" i="152"/>
  <c r="O127" i="152"/>
  <c r="O135" i="152"/>
  <c r="O143" i="152"/>
  <c r="O133" i="152"/>
  <c r="O126" i="152"/>
  <c r="O134" i="152"/>
  <c r="O142" i="152"/>
  <c r="O141" i="152"/>
  <c r="K128" i="152"/>
  <c r="K136" i="152"/>
  <c r="K144" i="152"/>
  <c r="K126" i="152"/>
  <c r="K134" i="152"/>
  <c r="K142" i="152"/>
  <c r="K127" i="152"/>
  <c r="K135" i="152"/>
  <c r="K143" i="152"/>
  <c r="K133" i="152"/>
  <c r="K141" i="152"/>
  <c r="K132" i="152"/>
  <c r="K140" i="152"/>
  <c r="K131" i="152"/>
  <c r="K139" i="152"/>
  <c r="K130" i="152"/>
  <c r="K138" i="152"/>
  <c r="K129" i="152"/>
  <c r="K137" i="152"/>
  <c r="K125" i="152"/>
  <c r="P133" i="152"/>
  <c r="P141" i="152"/>
  <c r="P131" i="152"/>
  <c r="P132" i="152"/>
  <c r="P140" i="152"/>
  <c r="P139" i="152"/>
  <c r="P130" i="152"/>
  <c r="P138" i="152"/>
  <c r="P125" i="152"/>
  <c r="P129" i="152"/>
  <c r="P137" i="152"/>
  <c r="P128" i="152"/>
  <c r="P136" i="152"/>
  <c r="P144" i="152"/>
  <c r="P127" i="152"/>
  <c r="P135" i="152"/>
  <c r="P143" i="152"/>
  <c r="P126" i="152"/>
  <c r="P134" i="152"/>
  <c r="P142" i="152"/>
  <c r="M130" i="152"/>
  <c r="M138" i="152"/>
  <c r="M125" i="152"/>
  <c r="M128" i="152"/>
  <c r="M136" i="152"/>
  <c r="M129" i="152"/>
  <c r="M137" i="152"/>
  <c r="M144" i="152"/>
  <c r="M127" i="152"/>
  <c r="M135" i="152"/>
  <c r="M143" i="152"/>
  <c r="M126" i="152"/>
  <c r="M134" i="152"/>
  <c r="M142" i="152"/>
  <c r="M133" i="152"/>
  <c r="M141" i="152"/>
  <c r="M132" i="152"/>
  <c r="M140" i="152"/>
  <c r="M131" i="152"/>
  <c r="M139" i="152"/>
  <c r="N131" i="152"/>
  <c r="N139" i="152"/>
  <c r="N129" i="152"/>
  <c r="N137" i="152"/>
  <c r="N130" i="152"/>
  <c r="N138" i="152"/>
  <c r="N125" i="152"/>
  <c r="N128" i="152"/>
  <c r="N136" i="152"/>
  <c r="N144" i="152"/>
  <c r="N127" i="152"/>
  <c r="N135" i="152"/>
  <c r="N143" i="152"/>
  <c r="N126" i="152"/>
  <c r="N134" i="152"/>
  <c r="N142" i="152"/>
  <c r="N140" i="152"/>
  <c r="N133" i="152"/>
  <c r="N141" i="152"/>
  <c r="N132" i="152"/>
  <c r="L129" i="152"/>
  <c r="L137" i="152"/>
  <c r="L143" i="152"/>
  <c r="L128" i="152"/>
  <c r="L136" i="152"/>
  <c r="L144" i="152"/>
  <c r="L135" i="152"/>
  <c r="L127" i="152"/>
  <c r="L126" i="152"/>
  <c r="L134" i="152"/>
  <c r="L142" i="152"/>
  <c r="L133" i="152"/>
  <c r="L141" i="152"/>
  <c r="L132" i="152"/>
  <c r="L140" i="152"/>
  <c r="L131" i="152"/>
  <c r="L139" i="152"/>
  <c r="L130" i="152"/>
  <c r="L138" i="152"/>
  <c r="L125" i="152"/>
  <c r="Q126" i="152"/>
  <c r="Q134" i="152"/>
  <c r="Q142" i="152"/>
  <c r="Q132" i="152"/>
  <c r="Q133" i="152"/>
  <c r="Q141" i="152"/>
  <c r="Q140" i="152"/>
  <c r="Q131" i="152"/>
  <c r="Q139" i="152"/>
  <c r="Q130" i="152"/>
  <c r="Q138" i="152"/>
  <c r="Q125" i="152"/>
  <c r="Q129" i="152"/>
  <c r="Q137" i="152"/>
  <c r="Q143" i="152"/>
  <c r="Q128" i="152"/>
  <c r="Q136" i="152"/>
  <c r="Q144" i="152"/>
  <c r="Q127" i="152"/>
  <c r="Q135" i="152"/>
  <c r="L35" i="152"/>
  <c r="N35" i="152"/>
  <c r="P35" i="152"/>
  <c r="Q35" i="152"/>
  <c r="O35" i="152"/>
  <c r="R35" i="152"/>
  <c r="M35" i="152"/>
  <c r="K58" i="152"/>
  <c r="K21" i="152"/>
  <c r="K14" i="152"/>
  <c r="K24" i="152"/>
  <c r="K19" i="152"/>
  <c r="K13" i="152"/>
  <c r="K26" i="152"/>
  <c r="K22" i="152"/>
  <c r="K12" i="152"/>
  <c r="K17" i="152"/>
  <c r="K20" i="152"/>
  <c r="K11" i="152"/>
  <c r="K27" i="152"/>
  <c r="K18" i="152"/>
  <c r="K10" i="152"/>
  <c r="K25" i="152"/>
  <c r="K16" i="152"/>
  <c r="K9" i="152"/>
  <c r="K23" i="152"/>
  <c r="K15" i="152"/>
  <c r="K8" i="152"/>
  <c r="M8" i="152"/>
  <c r="M24" i="152"/>
  <c r="M14" i="152"/>
  <c r="M20" i="152"/>
  <c r="M10" i="152"/>
  <c r="M26" i="152"/>
  <c r="M11" i="152"/>
  <c r="M9" i="152"/>
  <c r="M21" i="152"/>
  <c r="M16" i="152"/>
  <c r="M19" i="152"/>
  <c r="M27" i="152"/>
  <c r="M22" i="152"/>
  <c r="M25" i="152"/>
  <c r="M12" i="152"/>
  <c r="M13" i="152"/>
  <c r="M23" i="152"/>
  <c r="M15" i="152"/>
  <c r="O11" i="152"/>
  <c r="O21" i="152"/>
  <c r="O23" i="152"/>
  <c r="O22" i="152"/>
  <c r="O13" i="152"/>
  <c r="O26" i="152"/>
  <c r="O27" i="152"/>
  <c r="O10" i="152"/>
  <c r="O17" i="152"/>
  <c r="O18" i="152"/>
  <c r="O16" i="152"/>
  <c r="O25" i="152"/>
  <c r="O15" i="152"/>
  <c r="O20" i="152"/>
  <c r="O14" i="152"/>
  <c r="O8" i="152"/>
  <c r="O19" i="152"/>
  <c r="O9" i="152"/>
  <c r="O12" i="152"/>
  <c r="O24" i="152"/>
  <c r="R8" i="152"/>
  <c r="R15" i="152"/>
  <c r="R26" i="152"/>
  <c r="R27" i="152"/>
  <c r="R20" i="152"/>
  <c r="R9" i="152"/>
  <c r="R19" i="152"/>
  <c r="R14" i="152"/>
  <c r="R17" i="152"/>
  <c r="R10" i="152"/>
  <c r="R25" i="152"/>
  <c r="R22" i="152"/>
  <c r="R12" i="152"/>
  <c r="R16" i="152"/>
  <c r="R13" i="152"/>
  <c r="R24" i="152"/>
  <c r="R11" i="152"/>
  <c r="R18" i="152"/>
  <c r="R21" i="152"/>
  <c r="R23" i="152"/>
  <c r="N21" i="152"/>
  <c r="N27" i="152"/>
  <c r="N10" i="152"/>
  <c r="N18" i="152"/>
  <c r="N20" i="152"/>
  <c r="N17" i="152"/>
  <c r="N16" i="152"/>
  <c r="N15" i="152"/>
  <c r="N13" i="152"/>
  <c r="N23" i="152"/>
  <c r="N19" i="152"/>
  <c r="N8" i="152"/>
  <c r="N26" i="152"/>
  <c r="N12" i="152"/>
  <c r="N9" i="152"/>
  <c r="N11" i="152"/>
  <c r="N14" i="152"/>
  <c r="N24" i="152"/>
  <c r="N22" i="152"/>
  <c r="N25" i="152"/>
  <c r="U23" i="152"/>
  <c r="U10" i="152"/>
  <c r="U19" i="152"/>
  <c r="U26" i="152"/>
  <c r="U15" i="152"/>
  <c r="U24" i="152"/>
  <c r="U27" i="152"/>
  <c r="U12" i="152"/>
  <c r="U16" i="152"/>
  <c r="U18" i="152"/>
  <c r="U11" i="152"/>
  <c r="U20" i="152"/>
  <c r="U13" i="152"/>
  <c r="U17" i="152"/>
  <c r="U22" i="152"/>
  <c r="U21" i="152"/>
  <c r="U8" i="152"/>
  <c r="U14" i="152"/>
  <c r="U9" i="152"/>
  <c r="U25" i="152"/>
  <c r="Q8" i="152"/>
  <c r="Q19" i="152"/>
  <c r="Q11" i="152"/>
  <c r="Q10" i="152"/>
  <c r="Q12" i="152"/>
  <c r="Q22" i="152"/>
  <c r="Q9" i="152"/>
  <c r="Q15" i="152"/>
  <c r="Q17" i="152"/>
  <c r="Q14" i="152"/>
  <c r="Q16" i="152"/>
  <c r="Q24" i="152"/>
  <c r="Q26" i="152"/>
  <c r="Q21" i="152"/>
  <c r="Q13" i="152"/>
  <c r="Q20" i="152"/>
  <c r="Q25" i="152"/>
  <c r="Q27" i="152"/>
  <c r="Q18" i="152"/>
  <c r="Q23" i="152"/>
  <c r="L8" i="152"/>
  <c r="L15" i="152"/>
  <c r="L10" i="152"/>
  <c r="L13" i="152"/>
  <c r="L20" i="152"/>
  <c r="L24" i="152"/>
  <c r="L21" i="152"/>
  <c r="L11" i="152"/>
  <c r="L25" i="152"/>
  <c r="L12" i="152"/>
  <c r="L19" i="152"/>
  <c r="L9" i="152"/>
  <c r="L18" i="152"/>
  <c r="L14" i="152"/>
  <c r="L16" i="152"/>
  <c r="L17" i="152"/>
  <c r="L26" i="152"/>
  <c r="L22" i="152"/>
  <c r="L23" i="152"/>
  <c r="L27" i="152"/>
  <c r="T22" i="152"/>
  <c r="T19" i="152"/>
  <c r="T14" i="152"/>
  <c r="T16" i="152"/>
  <c r="T12" i="152"/>
  <c r="T27" i="152"/>
  <c r="T8" i="152"/>
  <c r="T10" i="152"/>
  <c r="T24" i="152"/>
  <c r="T13" i="152"/>
  <c r="T20" i="152"/>
  <c r="T9" i="152"/>
  <c r="T23" i="152"/>
  <c r="T17" i="152"/>
  <c r="T18" i="152"/>
  <c r="T21" i="152"/>
  <c r="T11" i="152"/>
  <c r="T26" i="152"/>
  <c r="T15" i="152"/>
  <c r="T25" i="152"/>
  <c r="P8" i="152"/>
  <c r="P19" i="152"/>
  <c r="P26" i="152"/>
  <c r="P16" i="152"/>
  <c r="P22" i="152"/>
  <c r="P25" i="152"/>
  <c r="P9" i="152"/>
  <c r="P14" i="152"/>
  <c r="P27" i="152"/>
  <c r="P13" i="152"/>
  <c r="P12" i="152"/>
  <c r="P23" i="152"/>
  <c r="P24" i="152"/>
  <c r="P10" i="152"/>
  <c r="P21" i="152"/>
  <c r="P17" i="152"/>
  <c r="P11" i="152"/>
  <c r="P15" i="152"/>
  <c r="P18" i="152"/>
  <c r="P20" i="152"/>
  <c r="S26" i="152"/>
  <c r="S14" i="152"/>
  <c r="S24" i="152"/>
  <c r="S12" i="152"/>
  <c r="S18" i="152"/>
  <c r="S17" i="152"/>
  <c r="S20" i="152"/>
  <c r="S8" i="152"/>
  <c r="S27" i="152"/>
  <c r="S13" i="152"/>
  <c r="S10" i="152"/>
  <c r="S22" i="152"/>
  <c r="S25" i="152"/>
  <c r="S15" i="152"/>
  <c r="S9" i="152"/>
  <c r="S19" i="152"/>
  <c r="S23" i="152"/>
  <c r="S11" i="152"/>
  <c r="S21" i="152"/>
  <c r="S16" i="152"/>
  <c r="K165" i="152" l="1"/>
  <c r="H72" i="147" s="1"/>
  <c r="L146" i="152"/>
  <c r="H66" i="147" s="1"/>
  <c r="O146" i="152"/>
  <c r="H69" i="147" s="1"/>
  <c r="N146" i="152"/>
  <c r="H68" i="147" s="1"/>
  <c r="P146" i="152"/>
  <c r="H70" i="147" s="1"/>
  <c r="Q146" i="152"/>
  <c r="H71" i="147" s="1"/>
  <c r="L165" i="152"/>
  <c r="H73" i="147" s="1"/>
  <c r="M146" i="152"/>
  <c r="H67" i="147" s="1"/>
  <c r="K146" i="152"/>
  <c r="H65" i="147" s="1"/>
  <c r="M50" i="152"/>
  <c r="M40" i="152"/>
  <c r="M42" i="152"/>
  <c r="M45" i="152"/>
  <c r="M48" i="152"/>
  <c r="M55" i="152"/>
  <c r="M53" i="152"/>
  <c r="M39" i="152"/>
  <c r="M41" i="152"/>
  <c r="M44" i="152"/>
  <c r="M46" i="152"/>
  <c r="M49" i="152"/>
  <c r="M54" i="152"/>
  <c r="M51" i="152"/>
  <c r="M38" i="152"/>
  <c r="M43" i="152"/>
  <c r="M47" i="152"/>
  <c r="M52" i="152"/>
  <c r="M56" i="152"/>
  <c r="M37" i="152"/>
  <c r="R38" i="152"/>
  <c r="R39" i="152"/>
  <c r="R40" i="152"/>
  <c r="R41" i="152"/>
  <c r="R42" i="152"/>
  <c r="R43" i="152"/>
  <c r="R44" i="152"/>
  <c r="R45" i="152"/>
  <c r="R46" i="152"/>
  <c r="R47" i="152"/>
  <c r="R48" i="152"/>
  <c r="R49" i="152"/>
  <c r="R50" i="152"/>
  <c r="R51" i="152"/>
  <c r="R52" i="152"/>
  <c r="R53" i="152"/>
  <c r="R54" i="152"/>
  <c r="R55" i="152"/>
  <c r="R56" i="152"/>
  <c r="R37" i="152"/>
  <c r="O38" i="152"/>
  <c r="O39" i="152"/>
  <c r="O40" i="152"/>
  <c r="O41" i="152"/>
  <c r="O42" i="152"/>
  <c r="O43" i="152"/>
  <c r="O44" i="152"/>
  <c r="O45" i="152"/>
  <c r="O46" i="152"/>
  <c r="O47" i="152"/>
  <c r="O48" i="152"/>
  <c r="O49" i="152"/>
  <c r="O50" i="152"/>
  <c r="O51" i="152"/>
  <c r="O52" i="152"/>
  <c r="O53" i="152"/>
  <c r="O54" i="152"/>
  <c r="O55" i="152"/>
  <c r="O56" i="152"/>
  <c r="O37" i="152"/>
  <c r="Q38" i="152"/>
  <c r="Q39" i="152"/>
  <c r="Q40" i="152"/>
  <c r="Q41" i="152"/>
  <c r="Q42" i="152"/>
  <c r="Q43" i="152"/>
  <c r="Q44" i="152"/>
  <c r="Q45" i="152"/>
  <c r="Q46" i="152"/>
  <c r="Q47" i="152"/>
  <c r="Q48" i="152"/>
  <c r="Q49" i="152"/>
  <c r="Q50" i="152"/>
  <c r="Q51" i="152"/>
  <c r="Q52" i="152"/>
  <c r="Q53" i="152"/>
  <c r="Q54" i="152"/>
  <c r="Q55" i="152"/>
  <c r="Q56" i="152"/>
  <c r="Q37" i="152"/>
  <c r="P38" i="152"/>
  <c r="P39" i="152"/>
  <c r="P40" i="152"/>
  <c r="P41" i="152"/>
  <c r="P42" i="152"/>
  <c r="P43" i="152"/>
  <c r="P44" i="152"/>
  <c r="P45" i="152"/>
  <c r="P46" i="152"/>
  <c r="P47" i="152"/>
  <c r="P48" i="152"/>
  <c r="P49" i="152"/>
  <c r="P50" i="152"/>
  <c r="P51" i="152"/>
  <c r="P52" i="152"/>
  <c r="P53" i="152"/>
  <c r="P54" i="152"/>
  <c r="P55" i="152"/>
  <c r="P56" i="152"/>
  <c r="P37" i="152"/>
  <c r="N38" i="152"/>
  <c r="N39" i="152"/>
  <c r="N40" i="152"/>
  <c r="N41" i="152"/>
  <c r="N42" i="152"/>
  <c r="N43" i="152"/>
  <c r="N44" i="152"/>
  <c r="N45" i="152"/>
  <c r="N46" i="152"/>
  <c r="N47" i="152"/>
  <c r="N48" i="152"/>
  <c r="N49" i="152"/>
  <c r="N50" i="152"/>
  <c r="N51" i="152"/>
  <c r="N52" i="152"/>
  <c r="N53" i="152"/>
  <c r="N54" i="152"/>
  <c r="N55" i="152"/>
  <c r="N56" i="152"/>
  <c r="N37" i="152"/>
  <c r="L38" i="152"/>
  <c r="L39" i="152"/>
  <c r="L40" i="152"/>
  <c r="L41" i="152"/>
  <c r="L42" i="152"/>
  <c r="L43" i="152"/>
  <c r="L44" i="152"/>
  <c r="L45" i="152"/>
  <c r="L46" i="152"/>
  <c r="L47" i="152"/>
  <c r="L48" i="152"/>
  <c r="L49" i="152"/>
  <c r="L50" i="152"/>
  <c r="L51" i="152"/>
  <c r="L52" i="152"/>
  <c r="L53" i="152"/>
  <c r="L54" i="152"/>
  <c r="L55" i="152"/>
  <c r="L56" i="152"/>
  <c r="L37" i="152"/>
  <c r="O29" i="152"/>
  <c r="H51" i="147" s="1"/>
  <c r="T29" i="152"/>
  <c r="H56" i="147" s="1"/>
  <c r="L29" i="152"/>
  <c r="H48" i="147" s="1"/>
  <c r="U29" i="152"/>
  <c r="H57" i="147" s="1"/>
  <c r="R29" i="152"/>
  <c r="H54" i="147" s="1"/>
  <c r="M29" i="152"/>
  <c r="H49" i="147" s="1"/>
  <c r="N29" i="152"/>
  <c r="H50" i="147" s="1"/>
  <c r="K29" i="152"/>
  <c r="S29" i="152"/>
  <c r="H55" i="147" s="1"/>
  <c r="P29" i="152"/>
  <c r="H52" i="147" s="1"/>
  <c r="Q29" i="152"/>
  <c r="H53" i="147" s="1"/>
  <c r="J165" i="152" l="1"/>
  <c r="J146" i="152"/>
  <c r="P58" i="152"/>
  <c r="H62" i="147" s="1"/>
  <c r="N58" i="152"/>
  <c r="H60" i="147" s="1"/>
  <c r="Q58" i="152"/>
  <c r="H63" i="147" s="1"/>
  <c r="R58" i="152"/>
  <c r="H64" i="147" s="1"/>
  <c r="O58" i="152"/>
  <c r="H61" i="147" s="1"/>
  <c r="M58" i="152"/>
  <c r="H59" i="147" s="1"/>
  <c r="L58" i="152"/>
  <c r="H58" i="147" s="1"/>
  <c r="J29" i="152"/>
  <c r="J58" i="152" l="1"/>
  <c r="E75" i="139" l="1"/>
  <c r="E673" i="56"/>
  <c r="E674" i="56"/>
  <c r="E678" i="56"/>
  <c r="E676" i="56"/>
  <c r="E672" i="56"/>
  <c r="E680" i="56"/>
  <c r="E679" i="56"/>
  <c r="E677" i="56"/>
  <c r="E675" i="56"/>
  <c r="G75" i="139"/>
  <c r="E670" i="56"/>
  <c r="F75" i="139"/>
  <c r="E671" i="56"/>
  <c r="E669" i="56" l="1"/>
  <c r="G671" i="56"/>
  <c r="G672" i="56"/>
  <c r="G675" i="56"/>
  <c r="E636" i="56" l="1"/>
  <c r="C101" i="147" s="1"/>
  <c r="E630" i="56"/>
  <c r="C95" i="147" s="1"/>
  <c r="E633" i="56"/>
  <c r="C98" i="147" s="1"/>
  <c r="E631" i="56"/>
  <c r="C96" i="147" s="1"/>
  <c r="E634" i="56"/>
  <c r="C99" i="147" s="1"/>
  <c r="E632" i="56"/>
  <c r="C97" i="147" s="1"/>
  <c r="E635" i="56"/>
  <c r="C100" i="147" s="1"/>
  <c r="B48" i="153"/>
  <c r="E627" i="56"/>
  <c r="C92" i="147" s="1"/>
  <c r="E623" i="56"/>
  <c r="E620" i="56"/>
  <c r="E625" i="56"/>
  <c r="E624" i="56"/>
  <c r="E629" i="56"/>
  <c r="C94" i="147" s="1"/>
  <c r="E621" i="56"/>
  <c r="E622" i="56"/>
  <c r="E628" i="56"/>
  <c r="C93" i="147" s="1"/>
  <c r="E626" i="56"/>
  <c r="B47" i="153"/>
  <c r="B39" i="153"/>
  <c r="B31" i="153"/>
  <c r="B23" i="153"/>
  <c r="B15" i="153"/>
  <c r="B46" i="153"/>
  <c r="B38" i="153"/>
  <c r="B30" i="153"/>
  <c r="B22" i="153"/>
  <c r="B14" i="153"/>
  <c r="B32" i="153"/>
  <c r="B8" i="153"/>
  <c r="B45" i="153"/>
  <c r="B37" i="153"/>
  <c r="B29" i="153"/>
  <c r="B21" i="153"/>
  <c r="B13" i="153"/>
  <c r="B44" i="153"/>
  <c r="B36" i="153"/>
  <c r="B20" i="153"/>
  <c r="B12" i="153"/>
  <c r="B34" i="153"/>
  <c r="B18" i="153"/>
  <c r="B33" i="153"/>
  <c r="B17" i="153"/>
  <c r="B24" i="153"/>
  <c r="B28" i="153"/>
  <c r="B10" i="153"/>
  <c r="B41" i="153"/>
  <c r="B25" i="153"/>
  <c r="B43" i="153"/>
  <c r="B35" i="153"/>
  <c r="B27" i="153"/>
  <c r="B19" i="153"/>
  <c r="B11" i="153"/>
  <c r="B42" i="153"/>
  <c r="B26" i="153"/>
  <c r="B9" i="153"/>
  <c r="B40" i="153"/>
  <c r="B16" i="153"/>
  <c r="B45" i="77"/>
  <c r="B34" i="77"/>
  <c r="B11" i="77"/>
  <c r="B19" i="77"/>
  <c r="B27" i="77"/>
  <c r="B35" i="77"/>
  <c r="B12" i="77"/>
  <c r="B20" i="77"/>
  <c r="B33" i="77"/>
  <c r="B39" i="77"/>
  <c r="B28" i="77"/>
  <c r="B36" i="77"/>
  <c r="B13" i="77"/>
  <c r="B21" i="77"/>
  <c r="B40" i="77"/>
  <c r="B29" i="77"/>
  <c r="B37" i="77"/>
  <c r="B14" i="77"/>
  <c r="B22" i="77"/>
  <c r="B18" i="77"/>
  <c r="B41" i="77"/>
  <c r="B30" i="77"/>
  <c r="B38" i="77"/>
  <c r="B15" i="77"/>
  <c r="B23" i="77"/>
  <c r="B46" i="77"/>
  <c r="B42" i="77"/>
  <c r="B31" i="77"/>
  <c r="B8" i="77"/>
  <c r="B16" i="77"/>
  <c r="B24" i="77"/>
  <c r="B10" i="77"/>
  <c r="B47" i="77"/>
  <c r="B43" i="77"/>
  <c r="B32" i="77"/>
  <c r="B9" i="77"/>
  <c r="B17" i="77"/>
  <c r="B25" i="77"/>
  <c r="B44" i="77"/>
  <c r="B26" i="77"/>
  <c r="B7" i="153" l="1"/>
  <c r="H97" i="147" s="1"/>
  <c r="C86" i="147"/>
  <c r="C89" i="147"/>
  <c r="H89" i="147" s="1"/>
  <c r="C90" i="147"/>
  <c r="C85" i="147"/>
  <c r="C87" i="147"/>
  <c r="H87" i="147" s="1"/>
  <c r="C91" i="147"/>
  <c r="C88" i="147"/>
  <c r="H88" i="147" s="1"/>
  <c r="B7" i="77"/>
  <c r="H92" i="147" l="1"/>
  <c r="H86" i="147"/>
  <c r="H91" i="147"/>
  <c r="H100" i="147"/>
  <c r="H85" i="147"/>
  <c r="H93" i="147"/>
  <c r="H90" i="147"/>
  <c r="H101" i="147"/>
  <c r="H95" i="147"/>
  <c r="H98" i="147"/>
  <c r="H96" i="147"/>
  <c r="H99" i="147"/>
  <c r="H94" i="147"/>
  <c r="E483" i="56" l="1"/>
  <c r="E452" i="56"/>
  <c r="E447" i="56"/>
  <c r="E495" i="56"/>
  <c r="E488" i="56"/>
  <c r="E448" i="56"/>
  <c r="E475" i="56"/>
  <c r="E443" i="56"/>
  <c r="E450" i="56"/>
  <c r="E491" i="56"/>
  <c r="E464" i="56"/>
  <c r="E465" i="56"/>
  <c r="E456" i="56"/>
  <c r="E442" i="56"/>
  <c r="E508" i="56"/>
  <c r="E444" i="56"/>
  <c r="E471" i="56"/>
  <c r="E441" i="56"/>
  <c r="E487" i="56"/>
  <c r="E446" i="56"/>
  <c r="E468" i="56"/>
  <c r="E472" i="56"/>
  <c r="E451" i="56"/>
  <c r="E449" i="56"/>
  <c r="E480" i="56"/>
  <c r="E459" i="56"/>
  <c r="E504" i="56"/>
  <c r="E440" i="56"/>
  <c r="E460" i="56"/>
  <c r="E521" i="56"/>
  <c r="E476" i="56"/>
  <c r="E478" i="56"/>
  <c r="E535" i="56"/>
  <c r="E457" i="56"/>
  <c r="E467" i="56"/>
  <c r="E506" i="56"/>
  <c r="E527" i="56"/>
  <c r="E513" i="56"/>
  <c r="E560" i="56"/>
  <c r="E497" i="56"/>
  <c r="E533" i="56"/>
  <c r="E470" i="56"/>
  <c r="E564" i="56"/>
  <c r="E500" i="56"/>
  <c r="E531" i="56"/>
  <c r="E568" i="56"/>
  <c r="E539" i="56"/>
  <c r="E514" i="56"/>
  <c r="E562" i="56"/>
  <c r="E569" i="56"/>
  <c r="E505" i="56"/>
  <c r="E552" i="56"/>
  <c r="E489" i="56"/>
  <c r="E525" i="56"/>
  <c r="E463" i="56"/>
  <c r="E556" i="56"/>
  <c r="E493" i="56"/>
  <c r="E523" i="56"/>
  <c r="E461" i="56"/>
  <c r="E567" i="56"/>
  <c r="E542" i="56"/>
  <c r="E543" i="56"/>
  <c r="E561" i="56"/>
  <c r="E498" i="56"/>
  <c r="E544" i="56"/>
  <c r="E481" i="56"/>
  <c r="E517" i="56"/>
  <c r="E455" i="56"/>
  <c r="E548" i="56"/>
  <c r="E485" i="56"/>
  <c r="E515" i="56"/>
  <c r="E453" i="56"/>
  <c r="E546" i="56"/>
  <c r="E551" i="56"/>
  <c r="E566" i="56"/>
  <c r="E519" i="56"/>
  <c r="E559" i="56"/>
  <c r="E553" i="56"/>
  <c r="E490" i="56"/>
  <c r="E536" i="56"/>
  <c r="E473" i="56"/>
  <c r="E509" i="56"/>
  <c r="E540" i="56"/>
  <c r="E477" i="56"/>
  <c r="E571" i="56"/>
  <c r="E507" i="56"/>
  <c r="E445" i="56"/>
  <c r="E570" i="56"/>
  <c r="E554" i="56"/>
  <c r="E530" i="56"/>
  <c r="E526" i="56"/>
  <c r="E502" i="56"/>
  <c r="E510" i="56"/>
  <c r="E522" i="56"/>
  <c r="E538" i="56"/>
  <c r="E545" i="56"/>
  <c r="E482" i="56"/>
  <c r="E528" i="56"/>
  <c r="E466" i="56"/>
  <c r="E565" i="56"/>
  <c r="E501" i="56"/>
  <c r="E532" i="56"/>
  <c r="E469" i="56"/>
  <c r="E563" i="56"/>
  <c r="E499" i="56"/>
  <c r="E550" i="56"/>
  <c r="E534" i="56"/>
  <c r="E503" i="56"/>
  <c r="E479" i="56"/>
  <c r="E558" i="56"/>
  <c r="E518" i="56"/>
  <c r="E537" i="56"/>
  <c r="E474" i="56"/>
  <c r="E520" i="56"/>
  <c r="E458" i="56"/>
  <c r="E557" i="56"/>
  <c r="E494" i="56"/>
  <c r="E524" i="56"/>
  <c r="E462" i="56"/>
  <c r="E555" i="56"/>
  <c r="E492" i="56"/>
  <c r="E541" i="56"/>
  <c r="E511" i="56"/>
  <c r="E496" i="56"/>
  <c r="E529" i="56"/>
  <c r="E512" i="56"/>
  <c r="E549" i="56"/>
  <c r="E486" i="56"/>
  <c r="E516" i="56"/>
  <c r="E454" i="56"/>
  <c r="E547" i="56"/>
  <c r="E484" i="56"/>
  <c r="E439" i="56" l="1"/>
  <c r="BE72" i="141" l="1"/>
  <c r="BH72" i="141"/>
  <c r="BD72" i="141"/>
  <c r="BF72" i="141"/>
  <c r="BG72" i="141"/>
  <c r="E114" i="56" l="1"/>
  <c r="C32" i="147" s="1"/>
  <c r="E94" i="56"/>
  <c r="C12" i="147" s="1"/>
  <c r="E102" i="56"/>
  <c r="E117" i="56"/>
  <c r="C35" i="147" s="1"/>
  <c r="E121" i="56"/>
  <c r="C39" i="147" s="1"/>
  <c r="E98" i="56"/>
  <c r="C16" i="147" s="1"/>
  <c r="E106" i="56"/>
  <c r="C24" i="147" s="1"/>
  <c r="E100" i="56"/>
  <c r="C18" i="147" s="1"/>
  <c r="E108" i="56"/>
  <c r="C26" i="147" s="1"/>
  <c r="C20" i="147" l="1"/>
  <c r="E120" i="56"/>
  <c r="E116" i="56"/>
  <c r="E111" i="56"/>
  <c r="E122" i="56"/>
  <c r="E95" i="56"/>
  <c r="E113" i="56"/>
  <c r="E103" i="56"/>
  <c r="E107" i="56"/>
  <c r="E101" i="56"/>
  <c r="E110" i="56"/>
  <c r="E112" i="56"/>
  <c r="E119" i="56"/>
  <c r="E118" i="56"/>
  <c r="E109" i="56"/>
  <c r="E97" i="56"/>
  <c r="E115" i="56"/>
  <c r="E104" i="56"/>
  <c r="E99" i="56"/>
  <c r="E96" i="56"/>
  <c r="E105" i="56"/>
  <c r="L74" i="65" l="1" a="1"/>
  <c r="F8" i="147"/>
  <c r="K8" i="147" s="1"/>
  <c r="F7" i="147"/>
  <c r="K7" i="147" s="1"/>
  <c r="G39" i="147"/>
  <c r="F39" i="147"/>
  <c r="C36" i="147"/>
  <c r="C13" i="147"/>
  <c r="F13" i="147" s="1"/>
  <c r="C17" i="147"/>
  <c r="G17" i="147" s="1"/>
  <c r="C22" i="147"/>
  <c r="C19" i="147"/>
  <c r="G19" i="147" s="1"/>
  <c r="C14" i="147"/>
  <c r="F14" i="147" s="1"/>
  <c r="C33" i="147"/>
  <c r="G33" i="147" s="1"/>
  <c r="C25" i="147"/>
  <c r="G25" i="147" s="1"/>
  <c r="C40" i="147"/>
  <c r="C15" i="147"/>
  <c r="F15" i="147" s="1"/>
  <c r="C37" i="147"/>
  <c r="C29" i="147"/>
  <c r="G29" i="147" s="1"/>
  <c r="C30" i="147"/>
  <c r="C34" i="147"/>
  <c r="C27" i="147"/>
  <c r="G27" i="147" s="1"/>
  <c r="C21" i="147"/>
  <c r="F21" i="147" s="1"/>
  <c r="C38" i="147"/>
  <c r="C23" i="147"/>
  <c r="G23" i="147" s="1"/>
  <c r="C28" i="147"/>
  <c r="C31" i="147"/>
  <c r="F46" i="147"/>
  <c r="K46" i="147" s="1"/>
  <c r="F47" i="147"/>
  <c r="K47" i="147" s="1"/>
  <c r="F88" i="147"/>
  <c r="K88" i="147" s="1"/>
  <c r="F86" i="147"/>
  <c r="K86" i="147" s="1"/>
  <c r="F91" i="147"/>
  <c r="K91" i="147" s="1"/>
  <c r="F87" i="147"/>
  <c r="K87" i="147" s="1"/>
  <c r="F85" i="147"/>
  <c r="K85" i="147" s="1"/>
  <c r="F99" i="147"/>
  <c r="K99" i="147" s="1"/>
  <c r="F90" i="147"/>
  <c r="K90" i="147" s="1"/>
  <c r="F89" i="147"/>
  <c r="K89" i="147" s="1"/>
  <c r="F92" i="147"/>
  <c r="K92" i="147" s="1"/>
  <c r="F95" i="147"/>
  <c r="K95" i="147" s="1"/>
  <c r="F94" i="147"/>
  <c r="K94" i="147" s="1"/>
  <c r="F93" i="147"/>
  <c r="K93" i="147" s="1"/>
  <c r="F98" i="147"/>
  <c r="K98" i="147" s="1"/>
  <c r="F71" i="147"/>
  <c r="K71" i="147" s="1"/>
  <c r="F96" i="147"/>
  <c r="K96" i="147" s="1"/>
  <c r="F100" i="147"/>
  <c r="K100" i="147" s="1"/>
  <c r="F97" i="147"/>
  <c r="K97" i="147" s="1"/>
  <c r="F101" i="147"/>
  <c r="K101" i="147" s="1"/>
  <c r="F69" i="147"/>
  <c r="K69" i="147" s="1"/>
  <c r="F70" i="147"/>
  <c r="K70" i="147" s="1"/>
  <c r="F73" i="147"/>
  <c r="K73" i="147" s="1"/>
  <c r="F72" i="147"/>
  <c r="K72" i="147" s="1"/>
  <c r="F66" i="147"/>
  <c r="K66" i="147" s="1"/>
  <c r="F67" i="147"/>
  <c r="K67" i="147" s="1"/>
  <c r="F65" i="147"/>
  <c r="K65" i="147" s="1"/>
  <c r="F68" i="147"/>
  <c r="K68" i="147" s="1"/>
  <c r="F60" i="147"/>
  <c r="K60" i="147" s="1"/>
  <c r="F63" i="147"/>
  <c r="K63" i="147" s="1"/>
  <c r="F59" i="147"/>
  <c r="K59" i="147" s="1"/>
  <c r="F62" i="147"/>
  <c r="K62" i="147" s="1"/>
  <c r="F61" i="147"/>
  <c r="K61" i="147" s="1"/>
  <c r="F64" i="147"/>
  <c r="K64" i="147" s="1"/>
  <c r="F76" i="147"/>
  <c r="F75" i="147"/>
  <c r="F84" i="147"/>
  <c r="K84" i="147" s="1"/>
  <c r="F80" i="147"/>
  <c r="K80" i="147" s="1"/>
  <c r="F79" i="147"/>
  <c r="K79" i="147" s="1"/>
  <c r="F82" i="147"/>
  <c r="K82" i="147" s="1"/>
  <c r="F81" i="147"/>
  <c r="K81" i="147" s="1"/>
  <c r="F78" i="147"/>
  <c r="K78" i="147" s="1"/>
  <c r="F83" i="147"/>
  <c r="K83" i="147" s="1"/>
  <c r="F77" i="147"/>
  <c r="K77" i="147" s="1"/>
  <c r="F74" i="147"/>
  <c r="F18" i="147"/>
  <c r="F19" i="147"/>
  <c r="F44" i="147"/>
  <c r="K44" i="147" s="1"/>
  <c r="F45" i="147"/>
  <c r="K45" i="147" s="1"/>
  <c r="F49" i="147"/>
  <c r="K49" i="147" s="1"/>
  <c r="F51" i="147"/>
  <c r="K51" i="147" s="1"/>
  <c r="F50" i="147"/>
  <c r="K50" i="147" s="1"/>
  <c r="F43" i="147"/>
  <c r="K43" i="147" s="1"/>
  <c r="F55" i="147"/>
  <c r="K55" i="147" s="1"/>
  <c r="F48" i="147"/>
  <c r="K48" i="147" s="1"/>
  <c r="F42" i="147"/>
  <c r="K42" i="147" s="1"/>
  <c r="F54" i="147"/>
  <c r="K54" i="147" s="1"/>
  <c r="F52" i="147"/>
  <c r="K52" i="147" s="1"/>
  <c r="F53" i="147"/>
  <c r="K53" i="147" s="1"/>
  <c r="F56" i="147"/>
  <c r="K56" i="147" s="1"/>
  <c r="F57" i="147"/>
  <c r="K57" i="147" s="1"/>
  <c r="F41" i="147"/>
  <c r="K41" i="147" s="1"/>
  <c r="F58" i="147"/>
  <c r="K58" i="147" s="1"/>
  <c r="F12" i="147"/>
  <c r="F16" i="147"/>
  <c r="F20" i="147"/>
  <c r="E93" i="56"/>
  <c r="G32" i="147"/>
  <c r="G26" i="147"/>
  <c r="G18" i="147"/>
  <c r="L74" i="65" l="1"/>
  <c r="F17" i="147"/>
  <c r="F37" i="147"/>
  <c r="G37" i="147"/>
  <c r="F38" i="147"/>
  <c r="G38" i="147"/>
  <c r="F40" i="147"/>
  <c r="G40" i="147"/>
  <c r="C11" i="147"/>
  <c r="G36" i="147"/>
  <c r="G28" i="147"/>
  <c r="G24" i="147"/>
  <c r="G20" i="147"/>
  <c r="G12" i="147"/>
  <c r="G30" i="147"/>
  <c r="G22" i="147"/>
  <c r="G15" i="147"/>
  <c r="G21" i="147"/>
  <c r="G31" i="147"/>
  <c r="G14" i="147"/>
  <c r="G13" i="147"/>
  <c r="G34" i="147"/>
  <c r="G35" i="147"/>
  <c r="G16" i="147"/>
  <c r="M76" i="65"/>
  <c r="U76" i="65"/>
  <c r="AF76" i="65"/>
  <c r="X76" i="65"/>
  <c r="AG76" i="65"/>
  <c r="Q76" i="65"/>
  <c r="AC76" i="65"/>
  <c r="AO76" i="65"/>
  <c r="AL76" i="65"/>
  <c r="AK76" i="65"/>
  <c r="V76" i="65"/>
  <c r="T76" i="65"/>
  <c r="AA76" i="65"/>
  <c r="Z76" i="65"/>
  <c r="U77" i="65"/>
  <c r="U80" i="65"/>
  <c r="U104" i="65"/>
  <c r="U98" i="65"/>
  <c r="U85" i="65"/>
  <c r="U88" i="65"/>
  <c r="U94" i="65"/>
  <c r="U84" i="65"/>
  <c r="U102" i="65"/>
  <c r="U99" i="65"/>
  <c r="U93" i="65"/>
  <c r="U86" i="65"/>
  <c r="U82" i="65"/>
  <c r="U79" i="65"/>
  <c r="U83" i="65"/>
  <c r="U90" i="65"/>
  <c r="U101" i="65"/>
  <c r="U87" i="65"/>
  <c r="U92" i="65"/>
  <c r="U103" i="65"/>
  <c r="U105" i="65"/>
  <c r="U97" i="65"/>
  <c r="U81" i="65"/>
  <c r="U91" i="65"/>
  <c r="U89" i="65"/>
  <c r="U100" i="65"/>
  <c r="U78" i="65"/>
  <c r="U96" i="65"/>
  <c r="U95" i="65"/>
  <c r="N86" i="65"/>
  <c r="N100" i="65"/>
  <c r="N103" i="65"/>
  <c r="N80" i="65"/>
  <c r="N77" i="65"/>
  <c r="N90" i="65"/>
  <c r="N83" i="65"/>
  <c r="N101" i="65"/>
  <c r="N97" i="65"/>
  <c r="N87" i="65"/>
  <c r="N104" i="65"/>
  <c r="N92" i="65"/>
  <c r="N105" i="65"/>
  <c r="N85" i="65"/>
  <c r="N99" i="65"/>
  <c r="N82" i="65"/>
  <c r="N95" i="65"/>
  <c r="N81" i="65"/>
  <c r="N94" i="65"/>
  <c r="N93" i="65"/>
  <c r="N98" i="65"/>
  <c r="N78" i="65"/>
  <c r="N84" i="65"/>
  <c r="N102" i="65"/>
  <c r="N91" i="65"/>
  <c r="N89" i="65"/>
  <c r="N88" i="65"/>
  <c r="N79" i="65"/>
  <c r="N96" i="65"/>
  <c r="AI79" i="65"/>
  <c r="AI94" i="65"/>
  <c r="AI96" i="65"/>
  <c r="AI100" i="65"/>
  <c r="AI86" i="65"/>
  <c r="AI91" i="65"/>
  <c r="AI95" i="65"/>
  <c r="AI99" i="65"/>
  <c r="AI81" i="65"/>
  <c r="AI101" i="65"/>
  <c r="AI87" i="65"/>
  <c r="AI92" i="65"/>
  <c r="AI89" i="65"/>
  <c r="AI103" i="65"/>
  <c r="AI77" i="65"/>
  <c r="AI98" i="65"/>
  <c r="AI83" i="65"/>
  <c r="AI85" i="65"/>
  <c r="AI97" i="65"/>
  <c r="AI102" i="65"/>
  <c r="AI93" i="65"/>
  <c r="AI84" i="65"/>
  <c r="AI90" i="65"/>
  <c r="AI80" i="65"/>
  <c r="AI104" i="65"/>
  <c r="AI88" i="65"/>
  <c r="AI82" i="65"/>
  <c r="AI105" i="65"/>
  <c r="AI78" i="65"/>
  <c r="AA83" i="65"/>
  <c r="AA78" i="65"/>
  <c r="AA82" i="65"/>
  <c r="AA81" i="65"/>
  <c r="AA99" i="65"/>
  <c r="AA94" i="65"/>
  <c r="AA90" i="65"/>
  <c r="AA79" i="65"/>
  <c r="AA84" i="65"/>
  <c r="AA98" i="65"/>
  <c r="AA86" i="65"/>
  <c r="AA97" i="65"/>
  <c r="AA77" i="65"/>
  <c r="AA102" i="65"/>
  <c r="AA100" i="65"/>
  <c r="AA93" i="65"/>
  <c r="AA89" i="65"/>
  <c r="AA80" i="65"/>
  <c r="AA101" i="65"/>
  <c r="AA96" i="65"/>
  <c r="AA88" i="65"/>
  <c r="AA92" i="65"/>
  <c r="AA103" i="65"/>
  <c r="AA87" i="65"/>
  <c r="AA105" i="65"/>
  <c r="AA85" i="65"/>
  <c r="AA91" i="65"/>
  <c r="AA104" i="65"/>
  <c r="AA95" i="65"/>
  <c r="AD76" i="65"/>
  <c r="AD86" i="65"/>
  <c r="AD80" i="65"/>
  <c r="AD99" i="65"/>
  <c r="AD104" i="65"/>
  <c r="AD103" i="65"/>
  <c r="AD88" i="65"/>
  <c r="AD84" i="65"/>
  <c r="AD91" i="65"/>
  <c r="AD83" i="65"/>
  <c r="AD79" i="65"/>
  <c r="AD94" i="65"/>
  <c r="AD98" i="65"/>
  <c r="AD82" i="65"/>
  <c r="AD97" i="65"/>
  <c r="AD92" i="65"/>
  <c r="AD101" i="65"/>
  <c r="AD77" i="65"/>
  <c r="AD90" i="65"/>
  <c r="AD100" i="65"/>
  <c r="AD89" i="65"/>
  <c r="AD96" i="65"/>
  <c r="AD105" i="65"/>
  <c r="AD93" i="65"/>
  <c r="AD78" i="65"/>
  <c r="AD85" i="65"/>
  <c r="AD102" i="65"/>
  <c r="AD81" i="65"/>
  <c r="AD95" i="65"/>
  <c r="AD87" i="65"/>
  <c r="R82" i="65"/>
  <c r="R85" i="65"/>
  <c r="R91" i="65"/>
  <c r="R101" i="65"/>
  <c r="R99" i="65"/>
  <c r="R104" i="65"/>
  <c r="R100" i="65"/>
  <c r="R103" i="65"/>
  <c r="R79" i="65"/>
  <c r="R84" i="65"/>
  <c r="R81" i="65"/>
  <c r="R88" i="65"/>
  <c r="R105" i="65"/>
  <c r="R89" i="65"/>
  <c r="R98" i="65"/>
  <c r="R78" i="65"/>
  <c r="R93" i="65"/>
  <c r="R97" i="65"/>
  <c r="R102" i="65"/>
  <c r="R96" i="65"/>
  <c r="R87" i="65"/>
  <c r="R94" i="65"/>
  <c r="R86" i="65"/>
  <c r="R95" i="65"/>
  <c r="R80" i="65"/>
  <c r="R92" i="65"/>
  <c r="R77" i="65"/>
  <c r="R83" i="65"/>
  <c r="R90" i="65"/>
  <c r="R76" i="65"/>
  <c r="N76" i="65"/>
  <c r="M77" i="65"/>
  <c r="M80" i="65"/>
  <c r="M94" i="65"/>
  <c r="M104" i="65"/>
  <c r="M85" i="65"/>
  <c r="M88" i="65"/>
  <c r="M105" i="65"/>
  <c r="M78" i="65"/>
  <c r="M102" i="65"/>
  <c r="M99" i="65"/>
  <c r="M86" i="65"/>
  <c r="M90" i="65"/>
  <c r="M82" i="65"/>
  <c r="M79" i="65"/>
  <c r="M93" i="65"/>
  <c r="M97" i="65"/>
  <c r="M101" i="65"/>
  <c r="M87" i="65"/>
  <c r="M103" i="65"/>
  <c r="M91" i="65"/>
  <c r="M83" i="65"/>
  <c r="M95" i="65"/>
  <c r="M84" i="65"/>
  <c r="M92" i="65"/>
  <c r="M81" i="65"/>
  <c r="M98" i="65"/>
  <c r="M100" i="65"/>
  <c r="M96" i="65"/>
  <c r="M89" i="65"/>
  <c r="X100" i="65"/>
  <c r="X83" i="65"/>
  <c r="X98" i="65"/>
  <c r="X81" i="65"/>
  <c r="X80" i="65"/>
  <c r="X102" i="65"/>
  <c r="X89" i="65"/>
  <c r="X105" i="65"/>
  <c r="X88" i="65"/>
  <c r="X82" i="65"/>
  <c r="X97" i="65"/>
  <c r="X93" i="65"/>
  <c r="X85" i="65"/>
  <c r="X86" i="65"/>
  <c r="X87" i="65"/>
  <c r="X92" i="65"/>
  <c r="X104" i="65"/>
  <c r="X91" i="65"/>
  <c r="X96" i="65"/>
  <c r="X77" i="65"/>
  <c r="X79" i="65"/>
  <c r="X84" i="65"/>
  <c r="X94" i="65"/>
  <c r="X103" i="65"/>
  <c r="X99" i="65"/>
  <c r="X90" i="65"/>
  <c r="X101" i="65"/>
  <c r="X78" i="65"/>
  <c r="X95" i="65"/>
  <c r="AN76" i="65"/>
  <c r="AN103" i="65"/>
  <c r="AN98" i="65"/>
  <c r="AN99" i="65"/>
  <c r="AN100" i="65"/>
  <c r="AN83" i="65"/>
  <c r="AN89" i="65"/>
  <c r="AN101" i="65"/>
  <c r="AN80" i="65"/>
  <c r="AN102" i="65"/>
  <c r="AN97" i="65"/>
  <c r="AN93" i="65"/>
  <c r="AN85" i="65"/>
  <c r="AN78" i="65"/>
  <c r="AN105" i="65"/>
  <c r="AN92" i="65"/>
  <c r="AN91" i="65"/>
  <c r="AN94" i="65"/>
  <c r="AN87" i="65"/>
  <c r="AN77" i="65"/>
  <c r="AN96" i="65"/>
  <c r="AN104" i="65"/>
  <c r="AN79" i="65"/>
  <c r="AN95" i="65"/>
  <c r="AN86" i="65"/>
  <c r="AN88" i="65"/>
  <c r="AN84" i="65"/>
  <c r="AN82" i="65"/>
  <c r="AN90" i="65"/>
  <c r="AN81" i="65"/>
  <c r="AF77" i="65"/>
  <c r="AF81" i="65"/>
  <c r="AF101" i="65"/>
  <c r="AF78" i="65"/>
  <c r="AF85" i="65"/>
  <c r="AF91" i="65"/>
  <c r="AF86" i="65"/>
  <c r="AF93" i="65"/>
  <c r="AF103" i="65"/>
  <c r="AF90" i="65"/>
  <c r="AF95" i="65"/>
  <c r="AF88" i="65"/>
  <c r="AF98" i="65"/>
  <c r="AF104" i="65"/>
  <c r="AF89" i="65"/>
  <c r="AF84" i="65"/>
  <c r="AF97" i="65"/>
  <c r="AF83" i="65"/>
  <c r="AF96" i="65"/>
  <c r="AF102" i="65"/>
  <c r="AF99" i="65"/>
  <c r="AF80" i="65"/>
  <c r="AF82" i="65"/>
  <c r="AF105" i="65"/>
  <c r="AF79" i="65"/>
  <c r="AF94" i="65"/>
  <c r="AF87" i="65"/>
  <c r="AF92" i="65"/>
  <c r="AF100" i="65"/>
  <c r="AH76" i="65"/>
  <c r="AH79" i="65"/>
  <c r="AH84" i="65"/>
  <c r="AH88" i="65"/>
  <c r="AH95" i="65"/>
  <c r="AH87" i="65"/>
  <c r="AH83" i="65"/>
  <c r="AH90" i="65"/>
  <c r="AH80" i="65"/>
  <c r="AH105" i="65"/>
  <c r="AH93" i="65"/>
  <c r="AH98" i="65"/>
  <c r="AH78" i="65"/>
  <c r="AH100" i="65"/>
  <c r="AH101" i="65"/>
  <c r="AH86" i="65"/>
  <c r="AH81" i="65"/>
  <c r="AH89" i="65"/>
  <c r="AH77" i="65"/>
  <c r="AH94" i="65"/>
  <c r="AH99" i="65"/>
  <c r="AH85" i="65"/>
  <c r="AH104" i="65"/>
  <c r="AH92" i="65"/>
  <c r="AH91" i="65"/>
  <c r="AH82" i="65"/>
  <c r="AH102" i="65"/>
  <c r="AH103" i="65"/>
  <c r="AH97" i="65"/>
  <c r="AH96" i="65"/>
  <c r="AL78" i="65"/>
  <c r="AL100" i="65"/>
  <c r="AL96" i="65"/>
  <c r="AL98" i="65"/>
  <c r="AL86" i="65"/>
  <c r="AL80" i="65"/>
  <c r="AL95" i="65"/>
  <c r="AL92" i="65"/>
  <c r="AL103" i="65"/>
  <c r="AL88" i="65"/>
  <c r="AL79" i="65"/>
  <c r="AL90" i="65"/>
  <c r="AL102" i="65"/>
  <c r="AL89" i="65"/>
  <c r="AL77" i="65"/>
  <c r="AL82" i="65"/>
  <c r="AL97" i="65"/>
  <c r="AL93" i="65"/>
  <c r="AL87" i="65"/>
  <c r="AL104" i="65"/>
  <c r="AL85" i="65"/>
  <c r="AL105" i="65"/>
  <c r="AL84" i="65"/>
  <c r="AL83" i="65"/>
  <c r="AL91" i="65"/>
  <c r="AL99" i="65"/>
  <c r="AL101" i="65"/>
  <c r="AL81" i="65"/>
  <c r="AL94" i="65"/>
  <c r="O76" i="65"/>
  <c r="O104" i="65"/>
  <c r="O89" i="65"/>
  <c r="O95" i="65"/>
  <c r="O93" i="65"/>
  <c r="O84" i="65"/>
  <c r="O90" i="65"/>
  <c r="O77" i="65"/>
  <c r="O103" i="65"/>
  <c r="O98" i="65"/>
  <c r="O86" i="65"/>
  <c r="O99" i="65"/>
  <c r="O102" i="65"/>
  <c r="O85" i="65"/>
  <c r="O91" i="65"/>
  <c r="O79" i="65"/>
  <c r="O82" i="65"/>
  <c r="O97" i="65"/>
  <c r="O78" i="65"/>
  <c r="O87" i="65"/>
  <c r="O94" i="65"/>
  <c r="O105" i="65"/>
  <c r="O80" i="65"/>
  <c r="O81" i="65"/>
  <c r="O100" i="65"/>
  <c r="O96" i="65"/>
  <c r="O88" i="65"/>
  <c r="O92" i="65"/>
  <c r="O83" i="65"/>
  <c r="O101" i="65"/>
  <c r="Y76" i="65"/>
  <c r="Y105" i="65"/>
  <c r="Y83" i="65"/>
  <c r="Y89" i="65"/>
  <c r="Y95" i="65"/>
  <c r="Y78" i="65"/>
  <c r="Y92" i="65"/>
  <c r="Y97" i="65"/>
  <c r="Y93" i="65"/>
  <c r="Y86" i="65"/>
  <c r="Y82" i="65"/>
  <c r="Y102" i="65"/>
  <c r="Y94" i="65"/>
  <c r="Y77" i="65"/>
  <c r="Y91" i="65"/>
  <c r="Y87" i="65"/>
  <c r="Y85" i="65"/>
  <c r="Y99" i="65"/>
  <c r="Y96" i="65"/>
  <c r="Y84" i="65"/>
  <c r="Y104" i="65"/>
  <c r="Y103" i="65"/>
  <c r="Y80" i="65"/>
  <c r="Y90" i="65"/>
  <c r="Y98" i="65"/>
  <c r="Y100" i="65"/>
  <c r="Y101" i="65"/>
  <c r="Y88" i="65"/>
  <c r="Y81" i="65"/>
  <c r="Y79" i="65"/>
  <c r="AI76" i="65"/>
  <c r="AG86" i="65"/>
  <c r="AG92" i="65"/>
  <c r="AG82" i="65"/>
  <c r="AG93" i="65"/>
  <c r="AG77" i="65"/>
  <c r="AG91" i="65"/>
  <c r="AG96" i="65"/>
  <c r="AG85" i="65"/>
  <c r="AG79" i="65"/>
  <c r="AG94" i="65"/>
  <c r="AG101" i="65"/>
  <c r="AG84" i="65"/>
  <c r="AG90" i="65"/>
  <c r="AG102" i="65"/>
  <c r="AG81" i="65"/>
  <c r="AG103" i="65"/>
  <c r="AG98" i="65"/>
  <c r="AG95" i="65"/>
  <c r="AG100" i="65"/>
  <c r="AG88" i="65"/>
  <c r="AG89" i="65"/>
  <c r="AG105" i="65"/>
  <c r="AG80" i="65"/>
  <c r="AG78" i="65"/>
  <c r="AG87" i="65"/>
  <c r="AG104" i="65"/>
  <c r="AG83" i="65"/>
  <c r="AG97" i="65"/>
  <c r="AG99" i="65"/>
  <c r="V86" i="65"/>
  <c r="V100" i="65"/>
  <c r="V95" i="65"/>
  <c r="V77" i="65"/>
  <c r="V103" i="65"/>
  <c r="V80" i="65"/>
  <c r="V104" i="65"/>
  <c r="V79" i="65"/>
  <c r="V83" i="65"/>
  <c r="V88" i="65"/>
  <c r="V85" i="65"/>
  <c r="V90" i="65"/>
  <c r="V82" i="65"/>
  <c r="V84" i="65"/>
  <c r="V93" i="65"/>
  <c r="V101" i="65"/>
  <c r="V97" i="65"/>
  <c r="V91" i="65"/>
  <c r="V87" i="65"/>
  <c r="V105" i="65"/>
  <c r="V94" i="65"/>
  <c r="V78" i="65"/>
  <c r="V98" i="65"/>
  <c r="V81" i="65"/>
  <c r="V89" i="65"/>
  <c r="V102" i="65"/>
  <c r="V99" i="65"/>
  <c r="V96" i="65"/>
  <c r="V92" i="65"/>
  <c r="AM76" i="65"/>
  <c r="AM83" i="65"/>
  <c r="AM89" i="65"/>
  <c r="AM94" i="65"/>
  <c r="AM102" i="65"/>
  <c r="AM97" i="65"/>
  <c r="AM86" i="65"/>
  <c r="AM87" i="65"/>
  <c r="AM81" i="65"/>
  <c r="AM96" i="65"/>
  <c r="AM92" i="65"/>
  <c r="AM99" i="65"/>
  <c r="AM90" i="65"/>
  <c r="AM91" i="65"/>
  <c r="AM79" i="65"/>
  <c r="AM98" i="65"/>
  <c r="AM80" i="65"/>
  <c r="AM104" i="65"/>
  <c r="AM100" i="65"/>
  <c r="AM93" i="65"/>
  <c r="AM84" i="65"/>
  <c r="AM85" i="65"/>
  <c r="AM103" i="65"/>
  <c r="AM105" i="65"/>
  <c r="AM101" i="65"/>
  <c r="AM78" i="65"/>
  <c r="AM95" i="65"/>
  <c r="AM88" i="65"/>
  <c r="AM77" i="65"/>
  <c r="AM82" i="65"/>
  <c r="W76" i="65"/>
  <c r="W83" i="65"/>
  <c r="W80" i="65"/>
  <c r="W77" i="65"/>
  <c r="W99" i="65"/>
  <c r="W102" i="65"/>
  <c r="W97" i="65"/>
  <c r="W93" i="65"/>
  <c r="W79" i="65"/>
  <c r="W82" i="65"/>
  <c r="W78" i="65"/>
  <c r="W91" i="65"/>
  <c r="W105" i="65"/>
  <c r="W81" i="65"/>
  <c r="W95" i="65"/>
  <c r="W86" i="65"/>
  <c r="W104" i="65"/>
  <c r="W89" i="65"/>
  <c r="W100" i="65"/>
  <c r="W88" i="65"/>
  <c r="W84" i="65"/>
  <c r="W92" i="65"/>
  <c r="W103" i="65"/>
  <c r="W101" i="65"/>
  <c r="W98" i="65"/>
  <c r="W96" i="65"/>
  <c r="W87" i="65"/>
  <c r="W90" i="65"/>
  <c r="W85" i="65"/>
  <c r="W94" i="65"/>
  <c r="AJ76" i="65"/>
  <c r="AJ80" i="65"/>
  <c r="AJ85" i="65"/>
  <c r="AJ103" i="65"/>
  <c r="AJ88" i="65"/>
  <c r="AJ102" i="65"/>
  <c r="AJ98" i="65"/>
  <c r="AJ99" i="65"/>
  <c r="AJ83" i="65"/>
  <c r="AJ96" i="65"/>
  <c r="AJ104" i="65"/>
  <c r="AJ87" i="65"/>
  <c r="AJ93" i="65"/>
  <c r="AJ97" i="65"/>
  <c r="AJ84" i="65"/>
  <c r="AJ105" i="65"/>
  <c r="AJ77" i="65"/>
  <c r="AJ82" i="65"/>
  <c r="AJ79" i="65"/>
  <c r="AJ90" i="65"/>
  <c r="AJ78" i="65"/>
  <c r="AJ86" i="65"/>
  <c r="AJ95" i="65"/>
  <c r="AJ94" i="65"/>
  <c r="AJ81" i="65"/>
  <c r="AJ100" i="65"/>
  <c r="AJ92" i="65"/>
  <c r="AJ91" i="65"/>
  <c r="AJ89" i="65"/>
  <c r="AJ101" i="65"/>
  <c r="T100" i="65"/>
  <c r="T86" i="65"/>
  <c r="T92" i="65"/>
  <c r="T80" i="65"/>
  <c r="T82" i="65"/>
  <c r="T91" i="65"/>
  <c r="T88" i="65"/>
  <c r="T95" i="65"/>
  <c r="T98" i="65"/>
  <c r="T84" i="65"/>
  <c r="T79" i="65"/>
  <c r="T85" i="65"/>
  <c r="T90" i="65"/>
  <c r="T101" i="65"/>
  <c r="T87" i="65"/>
  <c r="T93" i="65"/>
  <c r="T103" i="65"/>
  <c r="T105" i="65"/>
  <c r="T78" i="65"/>
  <c r="T94" i="65"/>
  <c r="T104" i="65"/>
  <c r="T83" i="65"/>
  <c r="T81" i="65"/>
  <c r="T96" i="65"/>
  <c r="T89" i="65"/>
  <c r="T99" i="65"/>
  <c r="T102" i="65"/>
  <c r="T77" i="65"/>
  <c r="T97" i="65"/>
  <c r="Q105" i="65"/>
  <c r="Q83" i="65"/>
  <c r="Q97" i="65"/>
  <c r="Q99" i="65"/>
  <c r="Q78" i="65"/>
  <c r="Q92" i="65"/>
  <c r="Q85" i="65"/>
  <c r="Q91" i="65"/>
  <c r="Q93" i="65"/>
  <c r="Q101" i="65"/>
  <c r="Q104" i="65"/>
  <c r="Q100" i="65"/>
  <c r="Q94" i="65"/>
  <c r="Q81" i="65"/>
  <c r="Q90" i="65"/>
  <c r="Q89" i="65"/>
  <c r="Q98" i="65"/>
  <c r="Q77" i="65"/>
  <c r="Q88" i="65"/>
  <c r="Q84" i="65"/>
  <c r="Q96" i="65"/>
  <c r="Q103" i="65"/>
  <c r="Q80" i="65"/>
  <c r="Q79" i="65"/>
  <c r="Q82" i="65"/>
  <c r="Q95" i="65"/>
  <c r="Q86" i="65"/>
  <c r="Q102" i="65"/>
  <c r="Q87" i="65"/>
  <c r="AC85" i="65"/>
  <c r="AC99" i="65"/>
  <c r="AC94" i="65"/>
  <c r="AC97" i="65"/>
  <c r="AC102" i="65"/>
  <c r="AC79" i="65"/>
  <c r="AC93" i="65"/>
  <c r="AC91" i="65"/>
  <c r="AC81" i="65"/>
  <c r="AC86" i="65"/>
  <c r="AC90" i="65"/>
  <c r="AC88" i="65"/>
  <c r="AC105" i="65"/>
  <c r="AC87" i="65"/>
  <c r="AC104" i="65"/>
  <c r="AC96" i="65"/>
  <c r="AC83" i="65"/>
  <c r="AC77" i="65"/>
  <c r="AC95" i="65"/>
  <c r="AC89" i="65"/>
  <c r="AC82" i="65"/>
  <c r="AC103" i="65"/>
  <c r="AC98" i="65"/>
  <c r="AC84" i="65"/>
  <c r="AC78" i="65"/>
  <c r="AC92" i="65"/>
  <c r="AC101" i="65"/>
  <c r="AC100" i="65"/>
  <c r="AC80" i="65"/>
  <c r="AE76" i="65"/>
  <c r="AE103" i="65"/>
  <c r="AE98" i="65"/>
  <c r="AE80" i="65"/>
  <c r="AE83" i="65"/>
  <c r="AE88" i="65"/>
  <c r="AE94" i="65"/>
  <c r="AE102" i="65"/>
  <c r="AE89" i="65"/>
  <c r="AE92" i="65"/>
  <c r="AE99" i="65"/>
  <c r="AE82" i="65"/>
  <c r="AE97" i="65"/>
  <c r="AE100" i="65"/>
  <c r="AE79" i="65"/>
  <c r="AE101" i="65"/>
  <c r="AE77" i="65"/>
  <c r="AE78" i="65"/>
  <c r="AE84" i="65"/>
  <c r="AE93" i="65"/>
  <c r="AE104" i="65"/>
  <c r="AE81" i="65"/>
  <c r="AE91" i="65"/>
  <c r="AE105" i="65"/>
  <c r="AE90" i="65"/>
  <c r="AE86" i="65"/>
  <c r="AE87" i="65"/>
  <c r="AE85" i="65"/>
  <c r="AE96" i="65"/>
  <c r="AE95" i="65"/>
  <c r="AO85" i="65"/>
  <c r="AO91" i="65"/>
  <c r="AO96" i="65"/>
  <c r="AO104" i="65"/>
  <c r="AO102" i="65"/>
  <c r="AO82" i="65"/>
  <c r="AO101" i="65"/>
  <c r="AO84" i="65"/>
  <c r="AO87" i="65"/>
  <c r="AO88" i="65"/>
  <c r="AO105" i="65"/>
  <c r="AO83" i="65"/>
  <c r="AO98" i="65"/>
  <c r="AO79" i="65"/>
  <c r="AO78" i="65"/>
  <c r="AO99" i="65"/>
  <c r="AO100" i="65"/>
  <c r="AO94" i="65"/>
  <c r="AO103" i="65"/>
  <c r="AO80" i="65"/>
  <c r="AO92" i="65"/>
  <c r="AO89" i="65"/>
  <c r="AO81" i="65"/>
  <c r="AO97" i="65"/>
  <c r="AO77" i="65"/>
  <c r="AO90" i="65"/>
  <c r="AO93" i="65"/>
  <c r="AO95" i="65"/>
  <c r="AO86" i="65"/>
  <c r="Z79" i="65"/>
  <c r="Z84" i="65"/>
  <c r="Z90" i="65"/>
  <c r="Z96" i="65"/>
  <c r="Z87" i="65"/>
  <c r="Z103" i="65"/>
  <c r="Z98" i="65"/>
  <c r="Z94" i="65"/>
  <c r="Z105" i="65"/>
  <c r="Z88" i="65"/>
  <c r="Z89" i="65"/>
  <c r="Z86" i="65"/>
  <c r="Z101" i="65"/>
  <c r="Z81" i="65"/>
  <c r="Z102" i="65"/>
  <c r="Z77" i="65"/>
  <c r="Z92" i="65"/>
  <c r="Z83" i="65"/>
  <c r="Z91" i="65"/>
  <c r="Z80" i="65"/>
  <c r="Z82" i="65"/>
  <c r="Z97" i="65"/>
  <c r="Z78" i="65"/>
  <c r="Z95" i="65"/>
  <c r="Z85" i="65"/>
  <c r="Z99" i="65"/>
  <c r="Z104" i="65"/>
  <c r="Z93" i="65"/>
  <c r="Z100" i="65"/>
  <c r="AK100" i="65"/>
  <c r="AK95" i="65"/>
  <c r="AK89" i="65"/>
  <c r="AK102" i="65"/>
  <c r="AK79" i="65"/>
  <c r="AK93" i="65"/>
  <c r="AK97" i="65"/>
  <c r="AK82" i="65"/>
  <c r="AK87" i="65"/>
  <c r="AK86" i="65"/>
  <c r="AK84" i="65"/>
  <c r="AK77" i="65"/>
  <c r="AK96" i="65"/>
  <c r="AK78" i="65"/>
  <c r="AK85" i="65"/>
  <c r="AK105" i="65"/>
  <c r="AK91" i="65"/>
  <c r="AK81" i="65"/>
  <c r="AK94" i="65"/>
  <c r="AK80" i="65"/>
  <c r="AK92" i="65"/>
  <c r="AK88" i="65"/>
  <c r="AK103" i="65"/>
  <c r="AK90" i="65"/>
  <c r="AK101" i="65"/>
  <c r="AK99" i="65"/>
  <c r="AK98" i="65"/>
  <c r="AK104" i="65"/>
  <c r="AK83" i="65"/>
  <c r="S76" i="65"/>
  <c r="S88" i="65"/>
  <c r="S85" i="65"/>
  <c r="S81" i="65"/>
  <c r="S97" i="65"/>
  <c r="S99" i="65"/>
  <c r="S94" i="65"/>
  <c r="S90" i="65"/>
  <c r="S103" i="65"/>
  <c r="S105" i="65"/>
  <c r="S93" i="65"/>
  <c r="S96" i="65"/>
  <c r="S79" i="65"/>
  <c r="S92" i="65"/>
  <c r="S87" i="65"/>
  <c r="S91" i="65"/>
  <c r="S78" i="65"/>
  <c r="S98" i="65"/>
  <c r="S86" i="65"/>
  <c r="S95" i="65"/>
  <c r="S77" i="65"/>
  <c r="S82" i="65"/>
  <c r="S102" i="65"/>
  <c r="S84" i="65"/>
  <c r="S101" i="65"/>
  <c r="S83" i="65"/>
  <c r="S100" i="65"/>
  <c r="S104" i="65"/>
  <c r="S89" i="65"/>
  <c r="S80" i="65"/>
  <c r="P76" i="65"/>
  <c r="P100" i="65"/>
  <c r="P83" i="65"/>
  <c r="P81" i="65"/>
  <c r="P99" i="65"/>
  <c r="P80" i="65"/>
  <c r="P102" i="65"/>
  <c r="P97" i="65"/>
  <c r="P101" i="65"/>
  <c r="P85" i="65"/>
  <c r="P87" i="65"/>
  <c r="P105" i="65"/>
  <c r="P93" i="65"/>
  <c r="P78" i="65"/>
  <c r="P89" i="65"/>
  <c r="P91" i="65"/>
  <c r="P92" i="65"/>
  <c r="P88" i="65"/>
  <c r="P90" i="65"/>
  <c r="P86" i="65"/>
  <c r="P77" i="65"/>
  <c r="P98" i="65"/>
  <c r="P104" i="65"/>
  <c r="P79" i="65"/>
  <c r="P103" i="65"/>
  <c r="P82" i="65"/>
  <c r="P96" i="65"/>
  <c r="P84" i="65"/>
  <c r="P95" i="65"/>
  <c r="P94" i="65"/>
  <c r="AB76" i="65"/>
  <c r="AB84" i="65"/>
  <c r="AB87" i="65"/>
  <c r="AB93" i="65"/>
  <c r="AB102" i="65"/>
  <c r="AB101" i="65"/>
  <c r="AB105" i="65"/>
  <c r="AB82" i="65"/>
  <c r="AB98" i="65"/>
  <c r="AB100" i="65"/>
  <c r="AB86" i="65"/>
  <c r="AB91" i="65"/>
  <c r="AB80" i="65"/>
  <c r="AB77" i="65"/>
  <c r="AB90" i="65"/>
  <c r="AB81" i="65"/>
  <c r="AB92" i="65"/>
  <c r="AB88" i="65"/>
  <c r="AB83" i="65"/>
  <c r="AB99" i="65"/>
  <c r="AB85" i="65"/>
  <c r="AB79" i="65"/>
  <c r="AB97" i="65"/>
  <c r="AB78" i="65"/>
  <c r="AB89" i="65"/>
  <c r="AB104" i="65"/>
  <c r="AB95" i="65"/>
  <c r="AB103" i="65"/>
  <c r="AB94" i="65"/>
  <c r="AB96" i="65"/>
  <c r="F24" i="147"/>
  <c r="F25" i="147" l="1"/>
  <c r="F10" i="147"/>
  <c r="K10" i="147" s="1"/>
  <c r="F9" i="147"/>
  <c r="K9" i="147" s="1"/>
  <c r="F36" i="147"/>
  <c r="G11" i="147"/>
  <c r="F11" i="147"/>
  <c r="F28" i="147"/>
  <c r="F23" i="147"/>
  <c r="F22" i="147"/>
  <c r="AC107" i="65"/>
  <c r="H28" i="147" s="1"/>
  <c r="X107" i="65"/>
  <c r="H23" i="147" s="1"/>
  <c r="U107" i="65"/>
  <c r="H20" i="147" s="1"/>
  <c r="K20" i="147" s="1"/>
  <c r="AA107" i="65"/>
  <c r="H26" i="147" s="1"/>
  <c r="AK107" i="65"/>
  <c r="H36" i="147" s="1"/>
  <c r="AI107" i="65"/>
  <c r="H34" i="147" s="1"/>
  <c r="T107" i="65"/>
  <c r="H19" i="147" s="1"/>
  <c r="K19" i="147" s="1"/>
  <c r="V107" i="65"/>
  <c r="H21" i="147" s="1"/>
  <c r="K21" i="147" s="1"/>
  <c r="Z107" i="65"/>
  <c r="H25" i="147" s="1"/>
  <c r="AG107" i="65"/>
  <c r="H32" i="147" s="1"/>
  <c r="AF107" i="65"/>
  <c r="H31" i="147" s="1"/>
  <c r="AO107" i="65"/>
  <c r="H40" i="147" s="1"/>
  <c r="K40" i="147" s="1"/>
  <c r="AL107" i="65"/>
  <c r="H37" i="147" s="1"/>
  <c r="K37" i="147" s="1"/>
  <c r="M107" i="65"/>
  <c r="AP72" i="141"/>
  <c r="AU72" i="141"/>
  <c r="BB72" i="141"/>
  <c r="AQ72" i="141"/>
  <c r="AL72" i="141"/>
  <c r="AO72" i="141"/>
  <c r="AI72" i="141"/>
  <c r="AE72" i="141"/>
  <c r="AK72" i="141"/>
  <c r="P107" i="65"/>
  <c r="H15" i="147" s="1"/>
  <c r="K15" i="147" s="1"/>
  <c r="AM72" i="141"/>
  <c r="Q107" i="65"/>
  <c r="H16" i="147" s="1"/>
  <c r="K16" i="147" s="1"/>
  <c r="AD72" i="141"/>
  <c r="AE107" i="65"/>
  <c r="H30" i="147" s="1"/>
  <c r="AG72" i="141"/>
  <c r="AB107" i="65"/>
  <c r="H27" i="147" s="1"/>
  <c r="AT72" i="141"/>
  <c r="L100" i="65"/>
  <c r="L86" i="65"/>
  <c r="L92" i="65"/>
  <c r="L78" i="65"/>
  <c r="L98" i="65"/>
  <c r="L80" i="65"/>
  <c r="L102" i="65"/>
  <c r="L91" i="65"/>
  <c r="L89" i="65"/>
  <c r="L103" i="65"/>
  <c r="L88" i="65"/>
  <c r="L83" i="65"/>
  <c r="L85" i="65"/>
  <c r="L104" i="65"/>
  <c r="L99" i="65"/>
  <c r="L95" i="65"/>
  <c r="L96" i="65"/>
  <c r="L84" i="65"/>
  <c r="L79" i="65"/>
  <c r="L94" i="65"/>
  <c r="L90" i="65"/>
  <c r="L105" i="65"/>
  <c r="L97" i="65"/>
  <c r="L101" i="65"/>
  <c r="L87" i="65"/>
  <c r="L77" i="65"/>
  <c r="L82" i="65"/>
  <c r="L81" i="65"/>
  <c r="L93" i="65"/>
  <c r="L76" i="65"/>
  <c r="AV72" i="141"/>
  <c r="BA72" i="141"/>
  <c r="AJ72" i="141"/>
  <c r="S107" i="65"/>
  <c r="H18" i="147" s="1"/>
  <c r="K18" i="147" s="1"/>
  <c r="O107" i="65"/>
  <c r="H14" i="147" s="1"/>
  <c r="K14" i="147" s="1"/>
  <c r="AY72" i="141"/>
  <c r="AB72" i="141"/>
  <c r="AJ107" i="65"/>
  <c r="H35" i="147" s="1"/>
  <c r="AC72" i="141"/>
  <c r="Z72" i="141"/>
  <c r="AM107" i="65"/>
  <c r="H38" i="147" s="1"/>
  <c r="K38" i="147" s="1"/>
  <c r="AN107" i="65"/>
  <c r="H39" i="147" s="1"/>
  <c r="K39" i="147" s="1"/>
  <c r="AD107" i="65"/>
  <c r="H29" i="147" s="1"/>
  <c r="W107" i="65"/>
  <c r="H22" i="147" s="1"/>
  <c r="AF72" i="141"/>
  <c r="AR72" i="141"/>
  <c r="AZ72" i="141"/>
  <c r="BC72" i="141"/>
  <c r="N107" i="65"/>
  <c r="H13" i="147" s="1"/>
  <c r="K13" i="147" s="1"/>
  <c r="AW72" i="141"/>
  <c r="AH72" i="141"/>
  <c r="AN72" i="141"/>
  <c r="AA72" i="141"/>
  <c r="AX72" i="141"/>
  <c r="Y107" i="65"/>
  <c r="H24" i="147" s="1"/>
  <c r="K24" i="147" s="1"/>
  <c r="AH107" i="65"/>
  <c r="H33" i="147" s="1"/>
  <c r="AS72" i="141"/>
  <c r="R107" i="65"/>
  <c r="H17" i="147" s="1"/>
  <c r="K17" i="147" s="1"/>
  <c r="H12" i="147" l="1"/>
  <c r="K12" i="147" s="1"/>
  <c r="M110" i="65"/>
  <c r="K25" i="147"/>
  <c r="K28" i="147"/>
  <c r="K22" i="147"/>
  <c r="K23" i="147"/>
  <c r="K36" i="147"/>
  <c r="F27" i="147"/>
  <c r="K27" i="147" s="1"/>
  <c r="F30" i="147"/>
  <c r="K30" i="147" s="1"/>
  <c r="F34" i="147"/>
  <c r="K34" i="147" s="1"/>
  <c r="F26" i="147"/>
  <c r="K26" i="147" s="1"/>
  <c r="F29" i="147"/>
  <c r="K29" i="147" s="1"/>
  <c r="F33" i="147"/>
  <c r="K33" i="147" s="1"/>
  <c r="F31" i="147"/>
  <c r="K31" i="147" s="1"/>
  <c r="F35" i="147"/>
  <c r="K35" i="147" s="1"/>
  <c r="F32" i="147"/>
  <c r="K32" i="147" s="1"/>
  <c r="M72" i="141"/>
  <c r="L72" i="141" s="1"/>
  <c r="L107" i="65"/>
  <c r="H11" i="147" s="1"/>
  <c r="K11" i="147" s="1"/>
  <c r="E73" i="56" l="1"/>
  <c r="E74" i="56"/>
  <c r="E75" i="56"/>
  <c r="E17" i="56" l="1"/>
  <c r="E18" i="56"/>
  <c r="E19" i="56"/>
  <c r="E15" i="56"/>
  <c r="E16" i="56"/>
  <c r="E78" i="56"/>
  <c r="E71" i="56"/>
  <c r="E53" i="56"/>
  <c r="E65" i="56"/>
  <c r="E63" i="56"/>
  <c r="E79" i="56"/>
  <c r="E80" i="56"/>
  <c r="E57" i="56"/>
  <c r="E55" i="56"/>
  <c r="E68" i="56"/>
  <c r="E76" i="56"/>
  <c r="E82" i="56"/>
  <c r="E77" i="56"/>
  <c r="E70" i="56"/>
  <c r="E69" i="56"/>
  <c r="E81" i="56"/>
  <c r="E72" i="56"/>
  <c r="E62" i="56"/>
  <c r="E56" i="56"/>
  <c r="E64" i="56"/>
  <c r="E54" i="56"/>
  <c r="E67" i="56"/>
  <c r="E66" i="56"/>
  <c r="E61" i="56"/>
  <c r="E52" i="56" l="1"/>
  <c r="E14" i="56"/>
  <c r="L85" i="56" l="1"/>
  <c r="B85" i="56" s="1"/>
  <c r="L84" i="56"/>
  <c r="B84" i="56" s="1"/>
  <c r="L132" i="56"/>
  <c r="B132" i="56" s="1"/>
  <c r="L131" i="56"/>
  <c r="B131" i="56" s="1"/>
  <c r="L147" i="56"/>
  <c r="B147" i="56" s="1"/>
  <c r="L146" i="56"/>
  <c r="B146" i="56" s="1"/>
  <c r="L216" i="56"/>
  <c r="B216" i="56" s="1"/>
  <c r="L215" i="56"/>
  <c r="B215" i="56" s="1"/>
  <c r="L398" i="56"/>
  <c r="B398" i="56" s="1"/>
  <c r="L397" i="56"/>
  <c r="B397" i="56" s="1"/>
  <c r="L434" i="56"/>
  <c r="B434" i="56" s="1"/>
  <c r="L433" i="56"/>
  <c r="B433" i="56" s="1"/>
  <c r="L638" i="56"/>
  <c r="B638" i="56" s="1"/>
  <c r="L637" i="56"/>
  <c r="B637" i="56" s="1"/>
  <c r="L691" i="56"/>
  <c r="B691" i="56" s="1"/>
  <c r="L406" i="56"/>
  <c r="B406" i="56" s="1"/>
  <c r="L407" i="56"/>
  <c r="B407" i="56" s="1"/>
  <c r="L408" i="56"/>
  <c r="B408" i="56" s="1"/>
  <c r="L405" i="56"/>
  <c r="B405" i="56" s="1"/>
  <c r="L745" i="56"/>
  <c r="B745" i="56" s="1"/>
  <c r="L746" i="56"/>
  <c r="B746" i="56" s="1"/>
  <c r="L747" i="56"/>
  <c r="B747" i="56" s="1"/>
  <c r="L748" i="56"/>
  <c r="B748" i="56" s="1"/>
  <c r="L749" i="56"/>
  <c r="B749" i="56" s="1"/>
  <c r="L750" i="56"/>
  <c r="B750" i="56" s="1"/>
  <c r="L751" i="56"/>
  <c r="B751" i="56" s="1"/>
  <c r="L752" i="56"/>
  <c r="B752" i="56" s="1"/>
  <c r="L753" i="56"/>
  <c r="B753" i="56" s="1"/>
  <c r="L744" i="56"/>
  <c r="B744" i="56" s="1"/>
  <c r="L48" i="56"/>
  <c r="B48" i="56" s="1"/>
  <c r="D12" i="58" l="1"/>
  <c r="D11" i="58"/>
  <c r="O61" i="77"/>
  <c r="P61" i="77"/>
  <c r="Q61" i="77"/>
  <c r="Q62" i="77" l="1"/>
  <c r="Q59" i="77" s="1"/>
  <c r="P62" i="77"/>
  <c r="P59" i="77" s="1"/>
  <c r="O62" i="77"/>
  <c r="O60" i="77" s="1"/>
  <c r="P60" i="77" l="1"/>
  <c r="Q60" i="77"/>
  <c r="O59" i="77"/>
  <c r="D17" i="58" l="1"/>
  <c r="D16" i="58"/>
  <c r="D15" i="58"/>
  <c r="D10" i="58"/>
  <c r="D13" i="58"/>
  <c r="D9" i="58"/>
  <c r="D8" i="58"/>
  <c r="D7" i="58"/>
  <c r="H431" i="56" l="1"/>
  <c r="L735" i="56" l="1"/>
  <c r="B735" i="56" s="1"/>
  <c r="L730" i="56"/>
  <c r="B730" i="56" s="1"/>
  <c r="L734" i="56"/>
  <c r="B734" i="56" s="1"/>
  <c r="L733" i="56" l="1"/>
  <c r="B733" i="56" s="1"/>
  <c r="L737" i="56"/>
  <c r="B737" i="56" s="1"/>
  <c r="L731" i="56"/>
  <c r="B731" i="56" s="1"/>
  <c r="L736" i="56" l="1"/>
  <c r="B736" i="56" s="1"/>
  <c r="L732" i="56"/>
  <c r="B732" i="56" s="1"/>
  <c r="R88" i="139" l="1"/>
  <c r="G682" i="56" s="1"/>
  <c r="F88" i="139"/>
  <c r="G679" i="56" s="1"/>
  <c r="L679" i="56" s="1"/>
  <c r="B679" i="56" s="1"/>
  <c r="I88" i="139"/>
  <c r="G670" i="56" s="1"/>
  <c r="Q88" i="139"/>
  <c r="G681" i="56" s="1"/>
  <c r="M88" i="139"/>
  <c r="G674" i="56" s="1"/>
  <c r="O88" i="139"/>
  <c r="G676" i="56" s="1"/>
  <c r="F71" i="139"/>
  <c r="G667" i="56" s="1"/>
  <c r="G71" i="139"/>
  <c r="G668" i="56" s="1"/>
  <c r="H88" i="139"/>
  <c r="G669" i="56" s="1"/>
  <c r="P88" i="139"/>
  <c r="G677" i="56" s="1"/>
  <c r="E88" i="139"/>
  <c r="G678" i="56" s="1"/>
  <c r="L678" i="56" s="1"/>
  <c r="B678" i="56" s="1"/>
  <c r="L88" i="139"/>
  <c r="G673" i="56" s="1"/>
  <c r="E71" i="139"/>
  <c r="G666" i="56" s="1"/>
  <c r="G88" i="139"/>
  <c r="G680" i="56" s="1"/>
  <c r="L680" i="56" s="1"/>
  <c r="B680" i="56" s="1"/>
  <c r="E33" i="145" l="1"/>
  <c r="G33" i="145" s="1"/>
  <c r="J33" i="145" s="1"/>
  <c r="E32" i="145" l="1"/>
  <c r="G32" i="145" s="1"/>
  <c r="J32" i="145" s="1"/>
  <c r="G167" i="152"/>
  <c r="G168" i="152" s="1"/>
  <c r="G89" i="152"/>
  <c r="G90" i="152" s="1"/>
  <c r="G148" i="152"/>
  <c r="G149" i="152" s="1"/>
  <c r="G31" i="152"/>
  <c r="G32" i="152" s="1"/>
  <c r="G119" i="152"/>
  <c r="G120" i="152" s="1"/>
  <c r="G60" i="152"/>
  <c r="G61" i="152" s="1"/>
  <c r="H89" i="152"/>
  <c r="H90" i="152" s="1"/>
  <c r="H148" i="152"/>
  <c r="H149" i="152" s="1"/>
  <c r="H31" i="152"/>
  <c r="H32" i="152" s="1"/>
  <c r="H119" i="152"/>
  <c r="H120" i="152" s="1"/>
  <c r="H60" i="152"/>
  <c r="H61" i="152" s="1"/>
  <c r="H167" i="152"/>
  <c r="H168" i="152" s="1"/>
  <c r="I109" i="65"/>
  <c r="I110" i="65" s="1"/>
  <c r="H109" i="65"/>
  <c r="H110" i="65" s="1"/>
  <c r="L37" i="56"/>
  <c r="B37" i="56" s="1"/>
  <c r="L38" i="56"/>
  <c r="B38" i="56" s="1"/>
  <c r="L681" i="56"/>
  <c r="B681" i="56" s="1"/>
  <c r="L682" i="56"/>
  <c r="B682" i="56" s="1"/>
  <c r="BY3" i="154" l="1"/>
  <c r="DC3" i="154"/>
  <c r="CG3" i="154" l="1"/>
  <c r="CG5" i="154" s="1"/>
  <c r="CR3" i="154"/>
  <c r="CR5" i="154" s="1"/>
  <c r="CZ3" i="154"/>
  <c r="CZ5" i="154" s="1"/>
  <c r="CJ3" i="154"/>
  <c r="CJ5" i="154" s="1"/>
  <c r="CX3" i="154"/>
  <c r="CX5" i="154" s="1"/>
  <c r="BZ3" i="154"/>
  <c r="BZ5" i="154" s="1"/>
  <c r="CT3" i="154"/>
  <c r="CT5" i="154" s="1"/>
  <c r="CN3" i="154"/>
  <c r="CN5" i="154" s="1"/>
  <c r="CB3" i="154"/>
  <c r="CB5" i="154" s="1"/>
  <c r="CK3" i="154"/>
  <c r="CK5" i="154" s="1"/>
  <c r="CV3" i="154"/>
  <c r="CV5" i="154" s="1"/>
  <c r="CY3" i="154"/>
  <c r="CY5" i="154" s="1"/>
  <c r="CO3" i="154"/>
  <c r="CO5" i="154" s="1"/>
  <c r="CF3" i="154"/>
  <c r="CF5" i="154" s="1"/>
  <c r="DD3" i="154"/>
  <c r="DD5" i="154" s="1"/>
  <c r="CP3" i="154"/>
  <c r="CP5" i="154" s="1"/>
  <c r="CC3" i="154"/>
  <c r="CC5" i="154" s="1"/>
  <c r="DE3" i="154"/>
  <c r="DE5" i="154" s="1"/>
  <c r="CH3" i="154"/>
  <c r="CH5" i="154" s="1"/>
  <c r="CI3" i="154"/>
  <c r="CI5" i="154" s="1"/>
  <c r="CA3" i="154"/>
  <c r="CA5" i="154" s="1"/>
  <c r="CS3" i="154"/>
  <c r="CS5" i="154" s="1"/>
  <c r="CM3" i="154"/>
  <c r="CM5" i="154" s="1"/>
  <c r="CQ3" i="154"/>
  <c r="CQ5" i="154" s="1"/>
  <c r="CU3" i="154"/>
  <c r="CU5" i="154" s="1"/>
  <c r="CW3" i="154"/>
  <c r="CW5" i="154" s="1"/>
  <c r="DC5" i="154"/>
  <c r="BY5" i="154"/>
  <c r="CD3" i="154" l="1"/>
  <c r="CD5" i="154" s="1"/>
  <c r="CL3" i="154"/>
  <c r="CL5" i="154" s="1"/>
  <c r="CE3" i="154"/>
  <c r="CE5" i="154" s="1"/>
  <c r="AW3" i="154"/>
  <c r="AW5" i="154" s="1"/>
  <c r="L754" i="56"/>
  <c r="H20" i="58" s="1"/>
  <c r="DA3" i="154" l="1"/>
  <c r="DA5" i="154" s="1"/>
  <c r="DB3" i="154"/>
  <c r="DB5" i="154" s="1"/>
  <c r="L431" i="56" l="1"/>
  <c r="B431" i="56" s="1"/>
  <c r="L683" i="56"/>
  <c r="B683" i="56" s="1"/>
  <c r="L684" i="56"/>
  <c r="B684" i="56" s="1"/>
  <c r="E24" i="145" l="1"/>
  <c r="G24" i="145" s="1"/>
  <c r="J24" i="145" s="1"/>
  <c r="L432" i="56"/>
  <c r="B432" i="56" s="1"/>
  <c r="D48" i="77"/>
  <c r="D51" i="77"/>
  <c r="D52" i="153"/>
  <c r="D68" i="153" l="1"/>
  <c r="D69" i="153"/>
  <c r="D56" i="153"/>
  <c r="L224" i="56"/>
  <c r="B224" i="56" s="1"/>
  <c r="L429" i="56"/>
  <c r="B429" i="56" s="1"/>
  <c r="L428" i="56"/>
  <c r="B428" i="56" s="1"/>
  <c r="L694" i="56"/>
  <c r="B694" i="56" s="1"/>
  <c r="L221" i="56"/>
  <c r="B221" i="56" s="1"/>
  <c r="L220" i="56"/>
  <c r="B220" i="56" s="1"/>
  <c r="Q76" i="77"/>
  <c r="P76" i="77"/>
  <c r="O76" i="77"/>
  <c r="J88" i="153" l="1"/>
  <c r="R88" i="153"/>
  <c r="K88" i="153"/>
  <c r="S88" i="153"/>
  <c r="L88" i="153"/>
  <c r="T88" i="153"/>
  <c r="M88" i="153"/>
  <c r="U88" i="153"/>
  <c r="F88" i="153"/>
  <c r="N88" i="153"/>
  <c r="V88" i="153"/>
  <c r="G88" i="153"/>
  <c r="O88" i="153"/>
  <c r="W88" i="153"/>
  <c r="H88" i="153"/>
  <c r="P88" i="153"/>
  <c r="X88" i="153"/>
  <c r="I88" i="153"/>
  <c r="Q88" i="153"/>
  <c r="E88" i="153"/>
  <c r="L696" i="56"/>
  <c r="B696" i="56" s="1"/>
  <c r="L695" i="56"/>
  <c r="B695" i="56" s="1"/>
  <c r="U53" i="148"/>
  <c r="U54" i="148" s="1"/>
  <c r="L339" i="56"/>
  <c r="B339" i="56" s="1"/>
  <c r="L336" i="56"/>
  <c r="B336" i="56" s="1"/>
  <c r="L332" i="56"/>
  <c r="B332" i="56" s="1"/>
  <c r="L342" i="56"/>
  <c r="B342" i="56" s="1"/>
  <c r="L333" i="56"/>
  <c r="B333" i="56" s="1"/>
  <c r="L331" i="56"/>
  <c r="B331" i="56" s="1"/>
  <c r="L338" i="56"/>
  <c r="B338" i="56" s="1"/>
  <c r="L341" i="56"/>
  <c r="B341" i="56" s="1"/>
  <c r="L340" i="56"/>
  <c r="B340" i="56" s="1"/>
  <c r="L334" i="56"/>
  <c r="B334" i="56" s="1"/>
  <c r="L335" i="56"/>
  <c r="B335" i="56" s="1"/>
  <c r="L337" i="56"/>
  <c r="B337" i="56" s="1"/>
  <c r="L223" i="56"/>
  <c r="B223" i="56" s="1"/>
  <c r="L222" i="56"/>
  <c r="B222" i="56" s="1"/>
  <c r="S53" i="148" l="1"/>
  <c r="S54" i="148" s="1"/>
  <c r="T53" i="148"/>
  <c r="T54" i="148" s="1"/>
  <c r="L330" i="56"/>
  <c r="B330" i="56" s="1"/>
  <c r="L321" i="56"/>
  <c r="B321" i="56" s="1"/>
  <c r="L326" i="56"/>
  <c r="B326" i="56" s="1"/>
  <c r="L322" i="56"/>
  <c r="B322" i="56" s="1"/>
  <c r="L329" i="56"/>
  <c r="B329" i="56" s="1"/>
  <c r="L319" i="56"/>
  <c r="B319" i="56" s="1"/>
  <c r="L307" i="56"/>
  <c r="B307" i="56" s="1"/>
  <c r="L323" i="56"/>
  <c r="B323" i="56" s="1"/>
  <c r="L325" i="56"/>
  <c r="B325" i="56" s="1"/>
  <c r="L327" i="56"/>
  <c r="B327" i="56" s="1"/>
  <c r="L328" i="56"/>
  <c r="B328" i="56" s="1"/>
  <c r="L324" i="56"/>
  <c r="B324" i="56" s="1"/>
  <c r="L320" i="56"/>
  <c r="B320" i="56" s="1"/>
  <c r="L313" i="56" l="1"/>
  <c r="B313" i="56" s="1"/>
  <c r="L316" i="56"/>
  <c r="B316" i="56" s="1"/>
  <c r="L314" i="56"/>
  <c r="B314" i="56" s="1"/>
  <c r="L311" i="56"/>
  <c r="B311" i="56" s="1"/>
  <c r="L315" i="56"/>
  <c r="B315" i="56" s="1"/>
  <c r="L309" i="56"/>
  <c r="B309" i="56" s="1"/>
  <c r="L308" i="56"/>
  <c r="B308" i="56" s="1"/>
  <c r="L306" i="56"/>
  <c r="B306" i="56" s="1"/>
  <c r="L317" i="56"/>
  <c r="B317" i="56" s="1"/>
  <c r="L312" i="56"/>
  <c r="B312" i="56" s="1"/>
  <c r="L310" i="56"/>
  <c r="B310" i="56" s="1"/>
  <c r="L426" i="56" l="1"/>
  <c r="B426" i="56" s="1"/>
  <c r="L427" i="56"/>
  <c r="B427" i="56" s="1"/>
  <c r="L686" i="56" l="1"/>
  <c r="B686" i="56" s="1"/>
  <c r="L687" i="56"/>
  <c r="B687" i="56" s="1"/>
  <c r="L685" i="56"/>
  <c r="B685" i="56" s="1"/>
  <c r="L688" i="56"/>
  <c r="B688" i="56" s="1"/>
  <c r="L130" i="56" l="1"/>
  <c r="B130" i="56" s="1"/>
  <c r="L655" i="56"/>
  <c r="B655" i="56" s="1"/>
  <c r="L36" i="56"/>
  <c r="B36" i="56" s="1"/>
  <c r="L354" i="56"/>
  <c r="B354" i="56" s="1"/>
  <c r="E12" i="145"/>
  <c r="G12" i="145" s="1"/>
  <c r="J12" i="145" s="1"/>
  <c r="E21" i="145"/>
  <c r="G21" i="145" s="1"/>
  <c r="J21" i="145" s="1"/>
  <c r="E29" i="145" l="1"/>
  <c r="G29" i="145" s="1"/>
  <c r="J29" i="145" s="1"/>
  <c r="E25" i="145"/>
  <c r="G25" i="145" s="1"/>
  <c r="J25" i="145" s="1"/>
  <c r="E27" i="145"/>
  <c r="G27" i="145" s="1"/>
  <c r="J27" i="145" s="1"/>
  <c r="E23" i="145"/>
  <c r="G23" i="145" s="1"/>
  <c r="J23" i="145" s="1"/>
  <c r="E28" i="145"/>
  <c r="G28" i="145" s="1"/>
  <c r="J28" i="145" s="1"/>
  <c r="AU39" i="149"/>
  <c r="BA39" i="149" s="1"/>
  <c r="AU36" i="149"/>
  <c r="BA36" i="149" s="1"/>
  <c r="AU27" i="149"/>
  <c r="BA27" i="149" s="1"/>
  <c r="AU20" i="149"/>
  <c r="BA20" i="149" s="1"/>
  <c r="AU12" i="149"/>
  <c r="BA12" i="149" s="1"/>
  <c r="AU11" i="149"/>
  <c r="BA11" i="149" s="1"/>
  <c r="AU29" i="149"/>
  <c r="BA29" i="149" s="1"/>
  <c r="AU19" i="149"/>
  <c r="BA19" i="149" s="1"/>
  <c r="AU34" i="149"/>
  <c r="BA34" i="149" s="1"/>
  <c r="AU22" i="149"/>
  <c r="BA22" i="149" s="1"/>
  <c r="AU14" i="149"/>
  <c r="BA14" i="149" s="1"/>
  <c r="AU31" i="149"/>
  <c r="BA31" i="149" s="1"/>
  <c r="AU28" i="149"/>
  <c r="BA28" i="149" s="1"/>
  <c r="AU21" i="149"/>
  <c r="BA21" i="149" s="1"/>
  <c r="AU13" i="149"/>
  <c r="BA13" i="149" s="1"/>
  <c r="AU35" i="149"/>
  <c r="BA35" i="149" s="1"/>
  <c r="AU25" i="149"/>
  <c r="BA25" i="149" s="1"/>
  <c r="AU17" i="149"/>
  <c r="BA17" i="149" s="1"/>
  <c r="AU33" i="149"/>
  <c r="BA33" i="149" s="1"/>
  <c r="AU24" i="149"/>
  <c r="BA24" i="149" s="1"/>
  <c r="AU16" i="149"/>
  <c r="BA16" i="149" s="1"/>
  <c r="AU38" i="149"/>
  <c r="BA38" i="149" s="1"/>
  <c r="AU37" i="149"/>
  <c r="BA37" i="149" s="1"/>
  <c r="AU30" i="149"/>
  <c r="BA30" i="149" s="1"/>
  <c r="AU26" i="149"/>
  <c r="BA26" i="149" s="1"/>
  <c r="AU18" i="149"/>
  <c r="BA18" i="149" s="1"/>
  <c r="AU32" i="149"/>
  <c r="BA32" i="149" s="1"/>
  <c r="AU23" i="149"/>
  <c r="BA23" i="149" s="1"/>
  <c r="AU15" i="149"/>
  <c r="BA15" i="149" s="1"/>
  <c r="L725" i="56"/>
  <c r="B725" i="56" s="1"/>
  <c r="L723" i="56"/>
  <c r="B723" i="56" s="1"/>
  <c r="L724" i="56"/>
  <c r="B724" i="56" s="1"/>
  <c r="L659" i="56"/>
  <c r="B659" i="56" s="1"/>
  <c r="L661" i="56"/>
  <c r="B661" i="56" s="1"/>
  <c r="L668" i="56"/>
  <c r="B668" i="56" s="1"/>
  <c r="L658" i="56"/>
  <c r="B658" i="56" s="1"/>
  <c r="L665" i="56"/>
  <c r="B665" i="56" s="1"/>
  <c r="L666" i="56"/>
  <c r="B666" i="56" s="1"/>
  <c r="L657" i="56"/>
  <c r="B657" i="56" s="1"/>
  <c r="L656" i="56"/>
  <c r="B656" i="56" s="1"/>
  <c r="L667" i="56"/>
  <c r="B667" i="56" s="1"/>
  <c r="AY5" i="149"/>
  <c r="I47" i="65"/>
  <c r="I48" i="65" s="1"/>
  <c r="H47" i="65"/>
  <c r="H48" i="65" s="1"/>
  <c r="D53" i="153"/>
  <c r="D59" i="77"/>
  <c r="D63" i="153"/>
  <c r="L213" i="56"/>
  <c r="B213" i="56" s="1"/>
  <c r="L355" i="56"/>
  <c r="B355" i="56" s="1"/>
  <c r="L348" i="56"/>
  <c r="B348" i="56" s="1"/>
  <c r="L225" i="56"/>
  <c r="B225" i="56" s="1"/>
  <c r="L212" i="56"/>
  <c r="B212" i="56" s="1"/>
  <c r="L347" i="56"/>
  <c r="B347" i="56" s="1"/>
  <c r="E9" i="145"/>
  <c r="G9" i="145" s="1"/>
  <c r="J9" i="145" s="1"/>
  <c r="E8" i="145"/>
  <c r="G8" i="145" s="1"/>
  <c r="J8" i="145" s="1"/>
  <c r="E11" i="145"/>
  <c r="G11" i="145" s="1"/>
  <c r="J11" i="145" s="1"/>
  <c r="E26" i="145" l="1"/>
  <c r="G26" i="145" s="1"/>
  <c r="J26" i="145" s="1"/>
  <c r="E31" i="145"/>
  <c r="G31" i="145" s="1"/>
  <c r="J31" i="145" s="1"/>
  <c r="L8" i="56"/>
  <c r="B8" i="56" s="1"/>
  <c r="G25" i="65"/>
  <c r="L9" i="56"/>
  <c r="B9" i="56" s="1"/>
  <c r="H25" i="65"/>
  <c r="H26" i="65" s="1"/>
  <c r="AY31" i="149"/>
  <c r="AY12" i="149"/>
  <c r="AY24" i="149"/>
  <c r="AY11" i="149"/>
  <c r="AY15" i="149"/>
  <c r="AY23" i="149"/>
  <c r="AY39" i="149"/>
  <c r="AY20" i="149"/>
  <c r="AY32" i="149"/>
  <c r="AY27" i="149"/>
  <c r="AY28" i="149"/>
  <c r="AY19" i="149"/>
  <c r="AY35" i="149"/>
  <c r="AY16" i="149"/>
  <c r="AY36" i="149"/>
  <c r="AY10" i="149"/>
  <c r="AY33" i="149"/>
  <c r="AY37" i="149"/>
  <c r="AY17" i="149"/>
  <c r="AY34" i="149"/>
  <c r="AY22" i="149"/>
  <c r="AY30" i="149"/>
  <c r="AY29" i="149"/>
  <c r="AY14" i="149"/>
  <c r="AY25" i="149"/>
  <c r="AY38" i="149"/>
  <c r="AY13" i="149"/>
  <c r="AY26" i="149"/>
  <c r="AY18" i="149"/>
  <c r="AY21" i="149"/>
  <c r="L663" i="56"/>
  <c r="B663" i="56" s="1"/>
  <c r="L662" i="56"/>
  <c r="B662" i="56" s="1"/>
  <c r="L646" i="56"/>
  <c r="B646" i="56" s="1"/>
  <c r="L664" i="56"/>
  <c r="B664" i="56" s="1"/>
  <c r="G80" i="77"/>
  <c r="H80" i="77"/>
  <c r="I80" i="77"/>
  <c r="J80" i="77"/>
  <c r="L80" i="77"/>
  <c r="M80" i="77"/>
  <c r="F80" i="77"/>
  <c r="N80" i="77"/>
  <c r="K80" i="77"/>
  <c r="G85" i="153"/>
  <c r="O85" i="153"/>
  <c r="W85" i="153"/>
  <c r="N85" i="153"/>
  <c r="H85" i="153"/>
  <c r="P85" i="153"/>
  <c r="X85" i="153"/>
  <c r="I85" i="153"/>
  <c r="Q85" i="153"/>
  <c r="R85" i="153"/>
  <c r="J85" i="153"/>
  <c r="K85" i="153"/>
  <c r="S85" i="153"/>
  <c r="M85" i="153"/>
  <c r="F85" i="153"/>
  <c r="L85" i="153"/>
  <c r="T85" i="153"/>
  <c r="U85" i="153"/>
  <c r="V85" i="153"/>
  <c r="L641" i="56"/>
  <c r="B641" i="56" s="1"/>
  <c r="AV11" i="149"/>
  <c r="AV10" i="149"/>
  <c r="L430" i="56"/>
  <c r="B430" i="56" s="1"/>
  <c r="Q80" i="77"/>
  <c r="O80" i="77"/>
  <c r="P80" i="77"/>
  <c r="E80" i="77"/>
  <c r="E85" i="153"/>
  <c r="L344" i="56"/>
  <c r="B344" i="56" s="1"/>
  <c r="L12" i="56"/>
  <c r="B12" i="56" s="1"/>
  <c r="L228" i="56"/>
  <c r="B228" i="56" s="1"/>
  <c r="L346" i="56"/>
  <c r="B346" i="56" s="1"/>
  <c r="L227" i="56"/>
  <c r="B227" i="56" s="1"/>
  <c r="L226" i="56"/>
  <c r="B226" i="56" s="1"/>
  <c r="L343" i="56"/>
  <c r="B343" i="56" s="1"/>
  <c r="L345" i="56"/>
  <c r="B345" i="56" s="1"/>
  <c r="L13" i="56"/>
  <c r="B13" i="56" s="1"/>
  <c r="AV24" i="149" l="1"/>
  <c r="AV32" i="149"/>
  <c r="AV25" i="149"/>
  <c r="AV33" i="149"/>
  <c r="AV12" i="149"/>
  <c r="AV18" i="149"/>
  <c r="AV26" i="149"/>
  <c r="AV34" i="149"/>
  <c r="BB34" i="149" s="1"/>
  <c r="AV13" i="149"/>
  <c r="AV19" i="149"/>
  <c r="AV27" i="149"/>
  <c r="AV35" i="149"/>
  <c r="AV14" i="149"/>
  <c r="AV20" i="149"/>
  <c r="AV28" i="149"/>
  <c r="AV36" i="149"/>
  <c r="BB36" i="149" s="1"/>
  <c r="AV15" i="149"/>
  <c r="AV29" i="149"/>
  <c r="AV37" i="149"/>
  <c r="AV16" i="149"/>
  <c r="AV22" i="149"/>
  <c r="AV30" i="149"/>
  <c r="AV38" i="149"/>
  <c r="AV17" i="149"/>
  <c r="BB17" i="149" s="1"/>
  <c r="AV23" i="149"/>
  <c r="AV31" i="149"/>
  <c r="AV39" i="149"/>
  <c r="L704" i="56"/>
  <c r="B704" i="56" s="1"/>
  <c r="L705" i="56"/>
  <c r="B705" i="56" s="1"/>
  <c r="L697" i="56"/>
  <c r="B697" i="56" s="1"/>
  <c r="L703" i="56"/>
  <c r="B703" i="56" s="1"/>
  <c r="E10" i="145"/>
  <c r="G10" i="145" s="1"/>
  <c r="J10" i="145" s="1"/>
  <c r="O53" i="148"/>
  <c r="O54" i="148" s="1"/>
  <c r="M53" i="148"/>
  <c r="M54" i="148" s="1"/>
  <c r="P53" i="148"/>
  <c r="P54" i="148" s="1"/>
  <c r="R53" i="148"/>
  <c r="R54" i="148" s="1"/>
  <c r="L11" i="56"/>
  <c r="B11" i="56" s="1"/>
  <c r="G47" i="65"/>
  <c r="G48" i="65" s="1"/>
  <c r="L10" i="56"/>
  <c r="B10" i="56" s="1"/>
  <c r="I25" i="65"/>
  <c r="I26" i="65" s="1"/>
  <c r="G26" i="65"/>
  <c r="Q53" i="148"/>
  <c r="Q54" i="148" s="1"/>
  <c r="AY41" i="149"/>
  <c r="L299" i="56"/>
  <c r="B299" i="56" s="1"/>
  <c r="L302" i="56"/>
  <c r="B302" i="56" s="1"/>
  <c r="L295" i="56"/>
  <c r="B295" i="56" s="1"/>
  <c r="L300" i="56"/>
  <c r="B300" i="56" s="1"/>
  <c r="L262" i="56"/>
  <c r="B262" i="56" s="1"/>
  <c r="L294" i="56"/>
  <c r="B294" i="56" s="1"/>
  <c r="L297" i="56"/>
  <c r="B297" i="56" s="1"/>
  <c r="L296" i="56"/>
  <c r="B296" i="56" s="1"/>
  <c r="L301" i="56"/>
  <c r="B301" i="56" s="1"/>
  <c r="L298" i="56"/>
  <c r="B298" i="56" s="1"/>
  <c r="L256" i="56"/>
  <c r="B256" i="56" s="1"/>
  <c r="L304" i="56"/>
  <c r="B304" i="56" s="1"/>
  <c r="L303" i="56"/>
  <c r="B303" i="56" s="1"/>
  <c r="L293" i="56"/>
  <c r="B293" i="56" s="1"/>
  <c r="L261" i="56"/>
  <c r="B261" i="56" s="1"/>
  <c r="L257" i="56"/>
  <c r="B257" i="56" s="1"/>
  <c r="L263" i="56"/>
  <c r="B263" i="56" s="1"/>
  <c r="L264" i="56"/>
  <c r="B264" i="56" s="1"/>
  <c r="L644" i="56"/>
  <c r="B644" i="56" s="1"/>
  <c r="L642" i="56"/>
  <c r="B642" i="56" s="1"/>
  <c r="L643" i="56"/>
  <c r="B643" i="56" s="1"/>
  <c r="L674" i="56"/>
  <c r="B674" i="56" s="1"/>
  <c r="L671" i="56"/>
  <c r="B671" i="56" s="1"/>
  <c r="L672" i="56"/>
  <c r="B672" i="56" s="1"/>
  <c r="L670" i="56"/>
  <c r="B670" i="56" s="1"/>
  <c r="L673" i="56"/>
  <c r="B673" i="56" s="1"/>
  <c r="L675" i="56"/>
  <c r="B675" i="56" s="1"/>
  <c r="L677" i="56"/>
  <c r="B677" i="56" s="1"/>
  <c r="L676" i="56"/>
  <c r="B676" i="56" s="1"/>
  <c r="L253" i="56"/>
  <c r="B253" i="56" s="1"/>
  <c r="L706" i="56"/>
  <c r="BC21" i="149"/>
  <c r="D60" i="77"/>
  <c r="D64" i="153"/>
  <c r="L230" i="56"/>
  <c r="B230" i="56" s="1"/>
  <c r="BB10" i="149"/>
  <c r="AT38" i="149"/>
  <c r="AX38" i="149" s="1"/>
  <c r="AT29" i="149"/>
  <c r="AX29" i="149" s="1"/>
  <c r="BB11" i="149"/>
  <c r="BB39" i="149"/>
  <c r="AT35" i="149"/>
  <c r="AX35" i="149" s="1"/>
  <c r="AT32" i="149"/>
  <c r="AX32" i="149" s="1"/>
  <c r="BB30" i="149"/>
  <c r="AT26" i="149"/>
  <c r="AX26" i="149" s="1"/>
  <c r="BB24" i="149"/>
  <c r="AT22" i="149"/>
  <c r="AX22" i="149" s="1"/>
  <c r="BB18" i="149"/>
  <c r="BB27" i="149"/>
  <c r="AT19" i="149"/>
  <c r="AX19" i="149" s="1"/>
  <c r="AT13" i="149"/>
  <c r="AX13" i="149" s="1"/>
  <c r="AT37" i="149"/>
  <c r="AX37" i="149" s="1"/>
  <c r="BB33" i="149"/>
  <c r="AT31" i="149"/>
  <c r="AX31" i="149" s="1"/>
  <c r="AT28" i="149"/>
  <c r="AX28" i="149" s="1"/>
  <c r="AT25" i="149"/>
  <c r="AX25" i="149" s="1"/>
  <c r="BB23" i="149"/>
  <c r="BB20" i="149"/>
  <c r="BB14" i="149"/>
  <c r="AT12" i="149"/>
  <c r="AX12" i="149" s="1"/>
  <c r="AT30" i="149"/>
  <c r="AX30" i="149" s="1"/>
  <c r="AT24" i="149"/>
  <c r="AX24" i="149" s="1"/>
  <c r="AT23" i="149"/>
  <c r="AX23" i="149" s="1"/>
  <c r="BB15" i="149"/>
  <c r="AT16" i="149"/>
  <c r="AX16" i="149" s="1"/>
  <c r="BB38" i="149"/>
  <c r="AT34" i="149"/>
  <c r="AX34" i="149" s="1"/>
  <c r="BB29" i="149"/>
  <c r="AT21" i="149"/>
  <c r="AX21" i="149" s="1"/>
  <c r="AT15" i="149"/>
  <c r="AX15" i="149" s="1"/>
  <c r="AT11" i="149"/>
  <c r="AX11" i="149" s="1"/>
  <c r="BB35" i="149"/>
  <c r="BB26" i="149"/>
  <c r="BB16" i="149"/>
  <c r="AT17" i="149"/>
  <c r="AX17" i="149" s="1"/>
  <c r="BB12" i="149"/>
  <c r="AT39" i="149"/>
  <c r="AX39" i="149" s="1"/>
  <c r="BB32" i="149"/>
  <c r="BB22" i="149"/>
  <c r="AT18" i="149"/>
  <c r="AX18" i="149" s="1"/>
  <c r="BB21" i="149"/>
  <c r="AT36" i="149"/>
  <c r="AX36" i="149" s="1"/>
  <c r="AT27" i="149"/>
  <c r="AX27" i="149" s="1"/>
  <c r="BB19" i="149"/>
  <c r="BB13" i="149"/>
  <c r="BB37" i="149"/>
  <c r="AT33" i="149"/>
  <c r="AX33" i="149" s="1"/>
  <c r="BB31" i="149"/>
  <c r="BB28" i="149"/>
  <c r="BB25" i="149"/>
  <c r="AT20" i="149"/>
  <c r="AX20" i="149" s="1"/>
  <c r="AT14" i="149"/>
  <c r="AX14" i="149" s="1"/>
  <c r="AT10" i="149"/>
  <c r="AX10" i="149" s="1"/>
  <c r="N53" i="148" l="1"/>
  <c r="N54" i="148" s="1"/>
  <c r="D3" i="148" s="1"/>
  <c r="L219" i="56" s="1"/>
  <c r="B219" i="56" s="1"/>
  <c r="D3" i="65"/>
  <c r="L7" i="56" s="1"/>
  <c r="B7" i="56" s="1"/>
  <c r="BD3" i="154"/>
  <c r="BD5" i="154" s="1"/>
  <c r="BC3" i="154"/>
  <c r="BC5" i="154" s="1"/>
  <c r="AU3" i="154"/>
  <c r="AU5" i="154" s="1"/>
  <c r="AV3" i="154"/>
  <c r="AV5" i="154" s="1"/>
  <c r="L180" i="56"/>
  <c r="B180" i="56" s="1"/>
  <c r="L179" i="56"/>
  <c r="B179" i="56" s="1"/>
  <c r="AQ3" i="154"/>
  <c r="BB41" i="149"/>
  <c r="L259" i="56"/>
  <c r="B259" i="56" s="1"/>
  <c r="L255" i="56"/>
  <c r="B255" i="56" s="1"/>
  <c r="L266" i="56"/>
  <c r="B266" i="56" s="1"/>
  <c r="L260" i="56"/>
  <c r="B260" i="56" s="1"/>
  <c r="L258" i="56"/>
  <c r="B258" i="56" s="1"/>
  <c r="L265" i="56"/>
  <c r="B265" i="56" s="1"/>
  <c r="AX41" i="149"/>
  <c r="L669" i="56"/>
  <c r="B669" i="56" s="1"/>
  <c r="F81" i="77"/>
  <c r="N81" i="77"/>
  <c r="G81" i="77"/>
  <c r="H81" i="77"/>
  <c r="J81" i="77"/>
  <c r="I81" i="77"/>
  <c r="K81" i="77"/>
  <c r="L81" i="77"/>
  <c r="M81" i="77"/>
  <c r="L86" i="153"/>
  <c r="T86" i="153"/>
  <c r="M86" i="153"/>
  <c r="U86" i="153"/>
  <c r="F86" i="153"/>
  <c r="N86" i="153"/>
  <c r="V86" i="153"/>
  <c r="W86" i="153"/>
  <c r="J86" i="153"/>
  <c r="K86" i="153"/>
  <c r="G86" i="153"/>
  <c r="O86" i="153"/>
  <c r="H86" i="153"/>
  <c r="P86" i="153"/>
  <c r="X86" i="153"/>
  <c r="I86" i="153"/>
  <c r="Q86" i="153"/>
  <c r="R86" i="153"/>
  <c r="S86" i="153"/>
  <c r="L620" i="56"/>
  <c r="B620" i="56" s="1"/>
  <c r="L702" i="56"/>
  <c r="B702" i="56" s="1"/>
  <c r="L698" i="56"/>
  <c r="B698" i="56" s="1"/>
  <c r="L700" i="56"/>
  <c r="B700" i="56" s="1"/>
  <c r="L699" i="56"/>
  <c r="B699" i="56" s="1"/>
  <c r="L701" i="56"/>
  <c r="B701" i="56" s="1"/>
  <c r="AZ5" i="149"/>
  <c r="BU3" i="154"/>
  <c r="B706" i="56"/>
  <c r="E81" i="77"/>
  <c r="P81" i="77"/>
  <c r="Q81" i="77"/>
  <c r="O81" i="77"/>
  <c r="E86" i="153"/>
  <c r="L278" i="56"/>
  <c r="B278" i="56" s="1"/>
  <c r="L276" i="56"/>
  <c r="B276" i="56" s="1"/>
  <c r="L239" i="56"/>
  <c r="B239" i="56" s="1"/>
  <c r="L279" i="56"/>
  <c r="B279" i="56" s="1"/>
  <c r="L288" i="56"/>
  <c r="B288" i="56" s="1"/>
  <c r="L245" i="56"/>
  <c r="B245" i="56" s="1"/>
  <c r="L281" i="56"/>
  <c r="B281" i="56" s="1"/>
  <c r="L285" i="56"/>
  <c r="B285" i="56" s="1"/>
  <c r="L243" i="56"/>
  <c r="B243" i="56" s="1"/>
  <c r="L290" i="56"/>
  <c r="B290" i="56" s="1"/>
  <c r="L277" i="56"/>
  <c r="B277" i="56" s="1"/>
  <c r="L283" i="56"/>
  <c r="B283" i="56" s="1"/>
  <c r="L272" i="56"/>
  <c r="B272" i="56" s="1"/>
  <c r="L287" i="56"/>
  <c r="B287" i="56" s="1"/>
  <c r="L292" i="56"/>
  <c r="B292" i="56" s="1"/>
  <c r="L254" i="56"/>
  <c r="B254" i="56" s="1"/>
  <c r="L238" i="56"/>
  <c r="B238" i="56" s="1"/>
  <c r="L249" i="56"/>
  <c r="B249" i="56" s="1"/>
  <c r="L284" i="56"/>
  <c r="B284" i="56" s="1"/>
  <c r="L237" i="56"/>
  <c r="B237" i="56" s="1"/>
  <c r="L246" i="56"/>
  <c r="B246" i="56" s="1"/>
  <c r="L236" i="56"/>
  <c r="B236" i="56" s="1"/>
  <c r="L252" i="56"/>
  <c r="B252" i="56" s="1"/>
  <c r="L269" i="56"/>
  <c r="B269" i="56" s="1"/>
  <c r="L250" i="56"/>
  <c r="B250" i="56" s="1"/>
  <c r="L271" i="56"/>
  <c r="B271" i="56" s="1"/>
  <c r="L235" i="56"/>
  <c r="B235" i="56" s="1"/>
  <c r="L289" i="56"/>
  <c r="B289" i="56" s="1"/>
  <c r="L274" i="56"/>
  <c r="B274" i="56" s="1"/>
  <c r="L291" i="56"/>
  <c r="B291" i="56" s="1"/>
  <c r="L241" i="56"/>
  <c r="B241" i="56" s="1"/>
  <c r="L286" i="56"/>
  <c r="B286" i="56" s="1"/>
  <c r="L240" i="56"/>
  <c r="B240" i="56" s="1"/>
  <c r="L270" i="56"/>
  <c r="B270" i="56" s="1"/>
  <c r="L247" i="56"/>
  <c r="B247" i="56" s="1"/>
  <c r="L234" i="56"/>
  <c r="B234" i="56" s="1"/>
  <c r="L231" i="56"/>
  <c r="B231" i="56" s="1"/>
  <c r="L268" i="56"/>
  <c r="B268" i="56" s="1"/>
  <c r="L282" i="56"/>
  <c r="B282" i="56" s="1"/>
  <c r="L233" i="56"/>
  <c r="B233" i="56" s="1"/>
  <c r="L273" i="56"/>
  <c r="B273" i="56" s="1"/>
  <c r="L244" i="56"/>
  <c r="B244" i="56" s="1"/>
  <c r="L251" i="56"/>
  <c r="B251" i="56" s="1"/>
  <c r="L232" i="56"/>
  <c r="B232" i="56" s="1"/>
  <c r="L248" i="56"/>
  <c r="B248" i="56" s="1"/>
  <c r="L275" i="56"/>
  <c r="B275" i="56" s="1"/>
  <c r="L80" i="56"/>
  <c r="B80" i="56" s="1"/>
  <c r="D49" i="153" l="1"/>
  <c r="D49" i="77"/>
  <c r="L145" i="56"/>
  <c r="B145" i="56" s="1"/>
  <c r="E17" i="145"/>
  <c r="G17" i="145" s="1"/>
  <c r="J17" i="145" s="1"/>
  <c r="D35" i="153"/>
  <c r="D35" i="77"/>
  <c r="AT3" i="154"/>
  <c r="AT5" i="154" s="1"/>
  <c r="AY3" i="154"/>
  <c r="AY5" i="154" s="1"/>
  <c r="BF3" i="154"/>
  <c r="BF5" i="154" s="1"/>
  <c r="AA3" i="154"/>
  <c r="AA5" i="154" s="1"/>
  <c r="Q3" i="154"/>
  <c r="Q5" i="154" s="1"/>
  <c r="BP3" i="154"/>
  <c r="BP5" i="154" s="1"/>
  <c r="BH3" i="154"/>
  <c r="BH5" i="154" s="1"/>
  <c r="BN3" i="154"/>
  <c r="BN5" i="154" s="1"/>
  <c r="Y3" i="154"/>
  <c r="Y5" i="154" s="1"/>
  <c r="AI3" i="154"/>
  <c r="AI5" i="154" s="1"/>
  <c r="BJ3" i="154"/>
  <c r="BJ5" i="154" s="1"/>
  <c r="BL3" i="154"/>
  <c r="BL5" i="154" s="1"/>
  <c r="AS3" i="154"/>
  <c r="AS5" i="154" s="1"/>
  <c r="AG3" i="154"/>
  <c r="AG5" i="154" s="1"/>
  <c r="T3" i="154"/>
  <c r="T5" i="154" s="1"/>
  <c r="BR3" i="154"/>
  <c r="BR5" i="154" s="1"/>
  <c r="BB3" i="154"/>
  <c r="BB5" i="154" s="1"/>
  <c r="BG3" i="154"/>
  <c r="BG5" i="154" s="1"/>
  <c r="S3" i="154"/>
  <c r="S5" i="154" s="1"/>
  <c r="AE3" i="154"/>
  <c r="AE5" i="154" s="1"/>
  <c r="AX3" i="154"/>
  <c r="AX5" i="154" s="1"/>
  <c r="BO3" i="154"/>
  <c r="BO5" i="154" s="1"/>
  <c r="Z3" i="154"/>
  <c r="Z5" i="154" s="1"/>
  <c r="O3" i="154"/>
  <c r="O5" i="154" s="1"/>
  <c r="BA3" i="154"/>
  <c r="BA5" i="154" s="1"/>
  <c r="BE3" i="154"/>
  <c r="BE5" i="154" s="1"/>
  <c r="AF3" i="154"/>
  <c r="AF5" i="154" s="1"/>
  <c r="AH3" i="154"/>
  <c r="AH5" i="154" s="1"/>
  <c r="BI3" i="154"/>
  <c r="BI5" i="154" s="1"/>
  <c r="BK3" i="154"/>
  <c r="BK5" i="154" s="1"/>
  <c r="BM3" i="154"/>
  <c r="BM5" i="154" s="1"/>
  <c r="W3" i="154"/>
  <c r="W5" i="154" s="1"/>
  <c r="BQ3" i="154"/>
  <c r="BQ5" i="154" s="1"/>
  <c r="AR3" i="154"/>
  <c r="AR5" i="154" s="1"/>
  <c r="AZ3" i="154"/>
  <c r="AZ5" i="154" s="1"/>
  <c r="AO3" i="154"/>
  <c r="AO5" i="154" s="1"/>
  <c r="BV3" i="154"/>
  <c r="BV5" i="154" s="1"/>
  <c r="BW3" i="154"/>
  <c r="BW5" i="154" s="1"/>
  <c r="AZ23" i="149"/>
  <c r="AZ39" i="149"/>
  <c r="AZ10" i="149"/>
  <c r="AZ19" i="149"/>
  <c r="AZ31" i="149"/>
  <c r="AZ11" i="149"/>
  <c r="AZ18" i="149"/>
  <c r="AZ26" i="149"/>
  <c r="AZ34" i="149"/>
  <c r="AZ15" i="149"/>
  <c r="AZ27" i="149"/>
  <c r="AZ35" i="149"/>
  <c r="AZ13" i="149"/>
  <c r="AZ37" i="149"/>
  <c r="AZ17" i="149"/>
  <c r="AZ28" i="149"/>
  <c r="AZ14" i="149"/>
  <c r="AZ12" i="149"/>
  <c r="AZ24" i="149"/>
  <c r="AZ25" i="149"/>
  <c r="AZ30" i="149"/>
  <c r="AZ20" i="149"/>
  <c r="AZ36" i="149"/>
  <c r="AZ38" i="149"/>
  <c r="AZ32" i="149"/>
  <c r="AZ16" i="149"/>
  <c r="AZ22" i="149"/>
  <c r="AZ29" i="149"/>
  <c r="AZ21" i="149"/>
  <c r="AZ33" i="149"/>
  <c r="L211" i="56"/>
  <c r="B211" i="56" s="1"/>
  <c r="AQ5" i="154"/>
  <c r="BU5" i="154"/>
  <c r="I3" i="154"/>
  <c r="L178" i="56"/>
  <c r="B178" i="56" s="1"/>
  <c r="L633" i="56"/>
  <c r="B633" i="56" s="1"/>
  <c r="L636" i="56"/>
  <c r="B636" i="56" s="1"/>
  <c r="L634" i="56"/>
  <c r="B634" i="56" s="1"/>
  <c r="L631" i="56"/>
  <c r="B631" i="56" s="1"/>
  <c r="L635" i="56"/>
  <c r="B635" i="56" s="1"/>
  <c r="L632" i="56"/>
  <c r="B632" i="56" s="1"/>
  <c r="L630" i="56"/>
  <c r="B630" i="56" s="1"/>
  <c r="L649" i="56"/>
  <c r="B649" i="56" s="1"/>
  <c r="L83" i="56"/>
  <c r="B83" i="56" s="1"/>
  <c r="L127" i="56"/>
  <c r="B127" i="56" s="1"/>
  <c r="D58" i="77"/>
  <c r="D62" i="153"/>
  <c r="L126" i="56"/>
  <c r="B126" i="56" s="1"/>
  <c r="D61" i="153"/>
  <c r="D57" i="77"/>
  <c r="D48" i="153"/>
  <c r="E14" i="145"/>
  <c r="G14" i="145" s="1"/>
  <c r="J14" i="145" s="1"/>
  <c r="E15" i="145"/>
  <c r="G15" i="145" s="1"/>
  <c r="J15" i="145" s="1"/>
  <c r="L106" i="56"/>
  <c r="B106" i="56" s="1"/>
  <c r="L103" i="56"/>
  <c r="B103" i="56" s="1"/>
  <c r="L120" i="56"/>
  <c r="B120" i="56" s="1"/>
  <c r="L98" i="56"/>
  <c r="B98" i="56" s="1"/>
  <c r="L102" i="56"/>
  <c r="B102" i="56" s="1"/>
  <c r="L99" i="56"/>
  <c r="B99" i="56" s="1"/>
  <c r="L104" i="56"/>
  <c r="B104" i="56" s="1"/>
  <c r="L108" i="56"/>
  <c r="B108" i="56" s="1"/>
  <c r="D54" i="153"/>
  <c r="D54" i="77"/>
  <c r="L82" i="56"/>
  <c r="B82" i="56" s="1"/>
  <c r="L63" i="56"/>
  <c r="B63" i="56" s="1"/>
  <c r="L79" i="56"/>
  <c r="B79" i="56" s="1"/>
  <c r="L78" i="56"/>
  <c r="B78" i="56" s="1"/>
  <c r="L77" i="56"/>
  <c r="B77" i="56" s="1"/>
  <c r="L76" i="56"/>
  <c r="B76" i="56" s="1"/>
  <c r="P70" i="65"/>
  <c r="P71" i="65" s="1"/>
  <c r="L52" i="56"/>
  <c r="B52" i="56" s="1"/>
  <c r="E18" i="145" l="1"/>
  <c r="G18" i="145" s="1"/>
  <c r="J18" i="145" s="1"/>
  <c r="E16" i="145"/>
  <c r="G16" i="145" s="1"/>
  <c r="J16" i="145" s="1"/>
  <c r="E13" i="145"/>
  <c r="G13" i="145" s="1"/>
  <c r="J13" i="145" s="1"/>
  <c r="E19" i="145"/>
  <c r="D27" i="77"/>
  <c r="D27" i="153"/>
  <c r="D30" i="153"/>
  <c r="D30" i="77"/>
  <c r="D44" i="77"/>
  <c r="D44" i="153"/>
  <c r="D45" i="153"/>
  <c r="D45" i="77"/>
  <c r="D40" i="153"/>
  <c r="D40" i="77"/>
  <c r="D11" i="153"/>
  <c r="D11" i="77"/>
  <c r="D42" i="153"/>
  <c r="D42" i="77"/>
  <c r="D20" i="77"/>
  <c r="D20" i="153"/>
  <c r="D21" i="153"/>
  <c r="D21" i="77"/>
  <c r="D37" i="77"/>
  <c r="D37" i="153"/>
  <c r="D36" i="77"/>
  <c r="D36" i="153"/>
  <c r="D15" i="153"/>
  <c r="D15" i="77"/>
  <c r="D23" i="153"/>
  <c r="D23" i="77"/>
  <c r="D19" i="153"/>
  <c r="D19" i="77"/>
  <c r="D18" i="153"/>
  <c r="D18" i="77"/>
  <c r="D24" i="153"/>
  <c r="D24" i="77"/>
  <c r="D47" i="153"/>
  <c r="D47" i="77"/>
  <c r="D17" i="153"/>
  <c r="D17" i="77"/>
  <c r="D39" i="153"/>
  <c r="D39" i="77"/>
  <c r="D38" i="153"/>
  <c r="D38" i="77"/>
  <c r="D33" i="153"/>
  <c r="D33" i="77"/>
  <c r="AB109" i="65"/>
  <c r="AB110" i="65" s="1"/>
  <c r="D34" i="153"/>
  <c r="D34" i="77"/>
  <c r="D16" i="153"/>
  <c r="D16" i="77"/>
  <c r="D13" i="153"/>
  <c r="D13" i="77"/>
  <c r="D41" i="153"/>
  <c r="D41" i="77"/>
  <c r="D31" i="153"/>
  <c r="D31" i="77"/>
  <c r="D22" i="153"/>
  <c r="D22" i="77"/>
  <c r="D29" i="153"/>
  <c r="D29" i="77"/>
  <c r="D25" i="153"/>
  <c r="D25" i="77"/>
  <c r="D12" i="77"/>
  <c r="D12" i="153"/>
  <c r="D8" i="153"/>
  <c r="D8" i="77"/>
  <c r="D32" i="153"/>
  <c r="D32" i="77"/>
  <c r="D7" i="153"/>
  <c r="D7" i="77"/>
  <c r="D14" i="153"/>
  <c r="D14" i="77"/>
  <c r="D9" i="153"/>
  <c r="D9" i="77"/>
  <c r="D26" i="153"/>
  <c r="D26" i="77"/>
  <c r="D28" i="77"/>
  <c r="D28" i="153"/>
  <c r="D43" i="153"/>
  <c r="D43" i="77"/>
  <c r="D10" i="153"/>
  <c r="D10" i="77"/>
  <c r="D46" i="153"/>
  <c r="D46" i="77"/>
  <c r="U3" i="154"/>
  <c r="U5" i="154" s="1"/>
  <c r="BT3" i="154"/>
  <c r="BT5" i="154" s="1"/>
  <c r="N3" i="154"/>
  <c r="N5" i="154" s="1"/>
  <c r="BS3" i="154"/>
  <c r="BS5" i="154" s="1"/>
  <c r="AJ3" i="154"/>
  <c r="AJ5" i="154" s="1"/>
  <c r="P3" i="154"/>
  <c r="P5" i="154" s="1"/>
  <c r="AN3" i="154"/>
  <c r="AN5" i="154" s="1"/>
  <c r="AZ41" i="149"/>
  <c r="O70" i="65"/>
  <c r="O71" i="65" s="1"/>
  <c r="J3" i="154"/>
  <c r="J40" i="56"/>
  <c r="L40" i="56" s="1"/>
  <c r="B40" i="56" s="1"/>
  <c r="L93" i="56"/>
  <c r="B93" i="56" s="1"/>
  <c r="J39" i="56"/>
  <c r="L39" i="56" s="1"/>
  <c r="B39" i="56" s="1"/>
  <c r="D55" i="77"/>
  <c r="E20" i="145"/>
  <c r="G20" i="145" s="1"/>
  <c r="J20" i="145" s="1"/>
  <c r="D50" i="153"/>
  <c r="D50" i="77"/>
  <c r="Q82" i="153"/>
  <c r="O82" i="153"/>
  <c r="J82" i="153"/>
  <c r="M82" i="153"/>
  <c r="R82" i="153"/>
  <c r="U82" i="153"/>
  <c r="W82" i="153"/>
  <c r="S82" i="153"/>
  <c r="F82" i="153"/>
  <c r="H82" i="153"/>
  <c r="K82" i="153"/>
  <c r="V82" i="153"/>
  <c r="P82" i="153"/>
  <c r="L82" i="153"/>
  <c r="G82" i="153"/>
  <c r="I82" i="153"/>
  <c r="X82" i="153"/>
  <c r="T82" i="153"/>
  <c r="N82" i="153"/>
  <c r="L116" i="56"/>
  <c r="B116" i="56" s="1"/>
  <c r="L109" i="65"/>
  <c r="L94" i="56"/>
  <c r="B94" i="56" s="1"/>
  <c r="L121" i="56"/>
  <c r="B121" i="56" s="1"/>
  <c r="L118" i="56"/>
  <c r="B118" i="56" s="1"/>
  <c r="L112" i="56"/>
  <c r="B112" i="56" s="1"/>
  <c r="L109" i="56"/>
  <c r="B109" i="56" s="1"/>
  <c r="L111" i="56"/>
  <c r="B111" i="56" s="1"/>
  <c r="D52" i="77"/>
  <c r="E82" i="153"/>
  <c r="D58" i="153"/>
  <c r="L123" i="56"/>
  <c r="B123" i="56" s="1"/>
  <c r="D59" i="153"/>
  <c r="L124" i="56"/>
  <c r="B124" i="56" s="1"/>
  <c r="L113" i="56"/>
  <c r="B113" i="56" s="1"/>
  <c r="L81" i="56"/>
  <c r="B81" i="56" s="1"/>
  <c r="L69" i="56"/>
  <c r="B69" i="56" s="1"/>
  <c r="L67" i="56"/>
  <c r="B67" i="56" s="1"/>
  <c r="L65" i="56"/>
  <c r="B65" i="56" s="1"/>
  <c r="L75" i="56"/>
  <c r="B75" i="56" s="1"/>
  <c r="L70" i="56"/>
  <c r="B70" i="56" s="1"/>
  <c r="L68" i="56"/>
  <c r="B68" i="56" s="1"/>
  <c r="L61" i="56"/>
  <c r="B61" i="56" s="1"/>
  <c r="L66" i="56"/>
  <c r="B66" i="56" s="1"/>
  <c r="L62" i="56"/>
  <c r="B62" i="56" s="1"/>
  <c r="L72" i="56"/>
  <c r="B72" i="56" s="1"/>
  <c r="L64" i="56"/>
  <c r="B64" i="56" s="1"/>
  <c r="L71" i="56"/>
  <c r="B71" i="56" s="1"/>
  <c r="L621" i="56"/>
  <c r="B621" i="56" s="1"/>
  <c r="D56" i="77"/>
  <c r="D60" i="153"/>
  <c r="D53" i="77"/>
  <c r="D57" i="153"/>
  <c r="L110" i="56"/>
  <c r="B110" i="56" s="1"/>
  <c r="L56" i="56"/>
  <c r="B56" i="56" s="1"/>
  <c r="L136" i="56"/>
  <c r="B136" i="56" s="1"/>
  <c r="L107" i="56"/>
  <c r="B107" i="56" s="1"/>
  <c r="L122" i="56"/>
  <c r="B122" i="56" s="1"/>
  <c r="L53" i="56"/>
  <c r="B53" i="56" s="1"/>
  <c r="L15" i="56"/>
  <c r="B15" i="56" s="1"/>
  <c r="L18" i="56"/>
  <c r="B18" i="56" s="1"/>
  <c r="L626" i="56"/>
  <c r="B626" i="56" s="1"/>
  <c r="L623" i="56"/>
  <c r="B623" i="56" s="1"/>
  <c r="L57" i="56"/>
  <c r="B57" i="56" s="1"/>
  <c r="L125" i="56"/>
  <c r="B125" i="56" s="1"/>
  <c r="L19" i="56"/>
  <c r="B19" i="56" s="1"/>
  <c r="L624" i="56"/>
  <c r="B624" i="56" s="1"/>
  <c r="L627" i="56"/>
  <c r="B627" i="56" s="1"/>
  <c r="L115" i="56"/>
  <c r="B115" i="56" s="1"/>
  <c r="L119" i="56"/>
  <c r="B119" i="56" s="1"/>
  <c r="L137" i="56"/>
  <c r="B137" i="56" s="1"/>
  <c r="L622" i="56"/>
  <c r="B622" i="56" s="1"/>
  <c r="L96" i="56"/>
  <c r="B96" i="56" s="1"/>
  <c r="L101" i="56"/>
  <c r="B101" i="56" s="1"/>
  <c r="L100" i="56"/>
  <c r="B100" i="56" s="1"/>
  <c r="L114" i="56"/>
  <c r="B114" i="56" s="1"/>
  <c r="L105" i="56"/>
  <c r="B105" i="56" s="1"/>
  <c r="L55" i="56"/>
  <c r="B55" i="56" s="1"/>
  <c r="L17" i="56"/>
  <c r="B17" i="56" s="1"/>
  <c r="L629" i="56"/>
  <c r="B629" i="56" s="1"/>
  <c r="L95" i="56"/>
  <c r="B95" i="56" s="1"/>
  <c r="L135" i="56"/>
  <c r="B135" i="56" s="1"/>
  <c r="L128" i="56"/>
  <c r="B128" i="56" s="1"/>
  <c r="L625" i="56"/>
  <c r="B625" i="56" s="1"/>
  <c r="L97" i="56"/>
  <c r="B97" i="56" s="1"/>
  <c r="L54" i="56"/>
  <c r="B54" i="56" s="1"/>
  <c r="L16" i="56"/>
  <c r="B16" i="56" s="1"/>
  <c r="L628" i="56"/>
  <c r="B628" i="56" s="1"/>
  <c r="L14" i="56"/>
  <c r="B14" i="56" s="1"/>
  <c r="L74" i="56" l="1"/>
  <c r="B74" i="56" s="1"/>
  <c r="N109" i="65"/>
  <c r="N110" i="65" s="1"/>
  <c r="G19" i="145"/>
  <c r="J19" i="145" s="1"/>
  <c r="AU10" i="149"/>
  <c r="BA10" i="149" s="1"/>
  <c r="BA41" i="149" s="1"/>
  <c r="AN109" i="65"/>
  <c r="AN110" i="65" s="1"/>
  <c r="S109" i="65"/>
  <c r="S110" i="65" s="1"/>
  <c r="Q109" i="65"/>
  <c r="Q110" i="65" s="1"/>
  <c r="AE109" i="65"/>
  <c r="AE110" i="65" s="1"/>
  <c r="AA109" i="65"/>
  <c r="AA110" i="65" s="1"/>
  <c r="AI109" i="65"/>
  <c r="AI110" i="65" s="1"/>
  <c r="O109" i="65"/>
  <c r="O110" i="65" s="1"/>
  <c r="AK109" i="65"/>
  <c r="AK110" i="65" s="1"/>
  <c r="X109" i="65"/>
  <c r="X110" i="65" s="1"/>
  <c r="Z109" i="65"/>
  <c r="Z110" i="65" s="1"/>
  <c r="V109" i="65"/>
  <c r="V110" i="65" s="1"/>
  <c r="W109" i="65"/>
  <c r="W110" i="65" s="1"/>
  <c r="M109" i="65"/>
  <c r="T109" i="65"/>
  <c r="T110" i="65" s="1"/>
  <c r="AD109" i="65"/>
  <c r="AD110" i="65" s="1"/>
  <c r="AO109" i="65"/>
  <c r="AO110" i="65" s="1"/>
  <c r="AM109" i="65"/>
  <c r="AM110" i="65" s="1"/>
  <c r="P109" i="65"/>
  <c r="P110" i="65" s="1"/>
  <c r="AG109" i="65"/>
  <c r="AG110" i="65" s="1"/>
  <c r="AJ109" i="65"/>
  <c r="AJ110" i="65" s="1"/>
  <c r="R109" i="65"/>
  <c r="R110" i="65" s="1"/>
  <c r="AH109" i="65"/>
  <c r="AH110" i="65" s="1"/>
  <c r="AL109" i="65"/>
  <c r="AL110" i="65" s="1"/>
  <c r="AF109" i="65"/>
  <c r="AF110" i="65" s="1"/>
  <c r="AC109" i="65"/>
  <c r="AC110" i="65" s="1"/>
  <c r="Y109" i="65"/>
  <c r="Y110" i="65" s="1"/>
  <c r="U109" i="65"/>
  <c r="U110" i="65" s="1"/>
  <c r="L73" i="56"/>
  <c r="B73" i="56" s="1"/>
  <c r="N70" i="65"/>
  <c r="N71" i="65" s="1"/>
  <c r="M70" i="65"/>
  <c r="M71" i="65" s="1"/>
  <c r="L70" i="65"/>
  <c r="L71" i="65" s="1"/>
  <c r="L58" i="56"/>
  <c r="B58" i="56" s="1"/>
  <c r="K70" i="65"/>
  <c r="K71" i="65" s="1"/>
  <c r="AD3" i="154"/>
  <c r="AD5" i="154" s="1"/>
  <c r="L3" i="154"/>
  <c r="L5" i="154" s="1"/>
  <c r="R3" i="154"/>
  <c r="R5" i="154" s="1"/>
  <c r="AC3" i="154"/>
  <c r="AC5" i="154" s="1"/>
  <c r="X3" i="154"/>
  <c r="X5" i="154" s="1"/>
  <c r="E182" i="56"/>
  <c r="E183" i="56"/>
  <c r="E184" i="56"/>
  <c r="AB3" i="154"/>
  <c r="AB5" i="154" s="1"/>
  <c r="V3" i="154"/>
  <c r="V5" i="154" s="1"/>
  <c r="AM3" i="154"/>
  <c r="AM5" i="154" s="1"/>
  <c r="E208" i="56"/>
  <c r="E209" i="56"/>
  <c r="L209" i="56" s="1"/>
  <c r="B209" i="56" s="1"/>
  <c r="E210" i="56"/>
  <c r="L210" i="56" s="1"/>
  <c r="B210" i="56" s="1"/>
  <c r="L110" i="65"/>
  <c r="L654" i="56"/>
  <c r="B654" i="56" s="1"/>
  <c r="E206" i="56"/>
  <c r="E207" i="56"/>
  <c r="I79" i="77"/>
  <c r="M79" i="77"/>
  <c r="Q79" i="77"/>
  <c r="N79" i="77"/>
  <c r="E79" i="77"/>
  <c r="L79" i="77"/>
  <c r="F84" i="153"/>
  <c r="O84" i="153"/>
  <c r="H84" i="153"/>
  <c r="P84" i="153"/>
  <c r="X84" i="153"/>
  <c r="I84" i="153"/>
  <c r="Q84" i="153"/>
  <c r="E84" i="153"/>
  <c r="K84" i="153"/>
  <c r="S84" i="153"/>
  <c r="J84" i="153"/>
  <c r="R84" i="153"/>
  <c r="M84" i="153"/>
  <c r="U84" i="153"/>
  <c r="N84" i="153"/>
  <c r="V84" i="153"/>
  <c r="G84" i="153"/>
  <c r="W84" i="153"/>
  <c r="L84" i="153"/>
  <c r="T84" i="153"/>
  <c r="G79" i="77"/>
  <c r="P79" i="77"/>
  <c r="J79" i="77"/>
  <c r="K79" i="77"/>
  <c r="H79" i="77"/>
  <c r="O79" i="77"/>
  <c r="F79" i="77"/>
  <c r="F76" i="77"/>
  <c r="L76" i="77"/>
  <c r="N76" i="77"/>
  <c r="M76" i="77"/>
  <c r="G76" i="77"/>
  <c r="E76" i="77"/>
  <c r="H76" i="77"/>
  <c r="I76" i="77"/>
  <c r="J76" i="77"/>
  <c r="K76" i="77"/>
  <c r="L117" i="56"/>
  <c r="B117" i="56" s="1"/>
  <c r="L83" i="153"/>
  <c r="T83" i="153"/>
  <c r="I83" i="153"/>
  <c r="M83" i="153"/>
  <c r="U83" i="153"/>
  <c r="Q83" i="153"/>
  <c r="F83" i="153"/>
  <c r="N83" i="153"/>
  <c r="V83" i="153"/>
  <c r="G83" i="153"/>
  <c r="O83" i="153"/>
  <c r="W83" i="153"/>
  <c r="H83" i="153"/>
  <c r="P83" i="153"/>
  <c r="X83" i="153"/>
  <c r="J83" i="153"/>
  <c r="R83" i="153"/>
  <c r="K83" i="153"/>
  <c r="S83" i="153"/>
  <c r="L78" i="77"/>
  <c r="M78" i="77"/>
  <c r="F78" i="77"/>
  <c r="N78" i="77"/>
  <c r="G78" i="77"/>
  <c r="H78" i="77"/>
  <c r="I78" i="77"/>
  <c r="J78" i="77"/>
  <c r="K78" i="77"/>
  <c r="J75" i="77"/>
  <c r="L75" i="77"/>
  <c r="H75" i="77"/>
  <c r="E77" i="77"/>
  <c r="J77" i="77"/>
  <c r="K77" i="77"/>
  <c r="L77" i="77"/>
  <c r="N77" i="77"/>
  <c r="M77" i="77"/>
  <c r="F77" i="77"/>
  <c r="G77" i="77"/>
  <c r="H77" i="77"/>
  <c r="I77" i="77"/>
  <c r="G75" i="77"/>
  <c r="I75" i="77"/>
  <c r="N75" i="77"/>
  <c r="F75" i="77"/>
  <c r="K75" i="77"/>
  <c r="M75" i="77"/>
  <c r="E75" i="77"/>
  <c r="F80" i="153"/>
  <c r="N80" i="153"/>
  <c r="V80" i="153"/>
  <c r="G80" i="153"/>
  <c r="O80" i="153"/>
  <c r="W80" i="153"/>
  <c r="H80" i="153"/>
  <c r="P80" i="153"/>
  <c r="X80" i="153"/>
  <c r="U80" i="153"/>
  <c r="I80" i="153"/>
  <c r="Q80" i="153"/>
  <c r="M80" i="153"/>
  <c r="J80" i="153"/>
  <c r="R80" i="153"/>
  <c r="T80" i="153"/>
  <c r="K80" i="153"/>
  <c r="S80" i="153"/>
  <c r="E80" i="153"/>
  <c r="L80" i="153"/>
  <c r="L89" i="56"/>
  <c r="B89" i="56" s="1"/>
  <c r="L90" i="56"/>
  <c r="B90" i="56" s="1"/>
  <c r="P77" i="77"/>
  <c r="O77" i="77"/>
  <c r="Q77" i="77"/>
  <c r="E181" i="56"/>
  <c r="E200" i="56"/>
  <c r="E188" i="56"/>
  <c r="E186" i="56"/>
  <c r="E204" i="56"/>
  <c r="E205" i="56"/>
  <c r="E192" i="56"/>
  <c r="E190" i="56"/>
  <c r="E198" i="56"/>
  <c r="E194" i="56"/>
  <c r="E185" i="56"/>
  <c r="E202" i="56"/>
  <c r="E193" i="56"/>
  <c r="E201" i="56"/>
  <c r="E196" i="56"/>
  <c r="E189" i="56"/>
  <c r="E191" i="56"/>
  <c r="E187" i="56"/>
  <c r="E197" i="56"/>
  <c r="E199" i="56"/>
  <c r="E195" i="56"/>
  <c r="E203" i="56"/>
  <c r="L60" i="56"/>
  <c r="B60" i="56" s="1"/>
  <c r="L59" i="56"/>
  <c r="B59" i="56" s="1"/>
  <c r="E78" i="77"/>
  <c r="P78" i="77"/>
  <c r="O78" i="77"/>
  <c r="Q78" i="77"/>
  <c r="Q75" i="77"/>
  <c r="P75" i="77"/>
  <c r="O75" i="77"/>
  <c r="E83" i="153"/>
  <c r="L22" i="56"/>
  <c r="B22" i="56" s="1"/>
  <c r="L21" i="56"/>
  <c r="B21" i="56" s="1"/>
  <c r="L20" i="56"/>
  <c r="B20" i="56" s="1"/>
  <c r="E22" i="145" l="1"/>
  <c r="G22" i="145" s="1"/>
  <c r="J22" i="145" s="1"/>
  <c r="E3" i="65"/>
  <c r="L51" i="56" s="1"/>
  <c r="K3" i="154"/>
  <c r="K5" i="154" s="1"/>
  <c r="M3" i="154"/>
  <c r="M5" i="154" s="1"/>
  <c r="AL3" i="154"/>
  <c r="AL5" i="154" s="1"/>
  <c r="AK3" i="154"/>
  <c r="AK5" i="154" s="1"/>
  <c r="F3" i="65"/>
  <c r="L88" i="56" s="1"/>
  <c r="B88" i="56" s="1"/>
  <c r="L208" i="56"/>
  <c r="B208" i="56" s="1"/>
  <c r="L660" i="56"/>
  <c r="B660" i="56" s="1"/>
  <c r="L645" i="56"/>
  <c r="B645" i="56" s="1"/>
  <c r="L35" i="56"/>
  <c r="B35" i="56" s="1"/>
  <c r="L91" i="56"/>
  <c r="B91" i="56" s="1"/>
  <c r="L92" i="56"/>
  <c r="B92" i="56" s="1"/>
  <c r="L86" i="56" l="1"/>
  <c r="B51" i="56"/>
  <c r="L177" i="56"/>
  <c r="B177" i="56" s="1"/>
  <c r="J4" i="154"/>
  <c r="L207" i="56"/>
  <c r="B207" i="56" s="1"/>
  <c r="L206" i="56"/>
  <c r="B206" i="56" s="1"/>
  <c r="L176" i="56"/>
  <c r="B176" i="56" s="1"/>
  <c r="L160" i="56"/>
  <c r="B160" i="56" s="1"/>
  <c r="L167" i="56"/>
  <c r="B167" i="56" s="1"/>
  <c r="L164" i="56"/>
  <c r="B164" i="56" s="1"/>
  <c r="L168" i="56"/>
  <c r="B168" i="56" s="1"/>
  <c r="L170" i="56"/>
  <c r="B170" i="56" s="1"/>
  <c r="L173" i="56"/>
  <c r="B173" i="56" s="1"/>
  <c r="L158" i="56"/>
  <c r="B158" i="56" s="1"/>
  <c r="L172" i="56"/>
  <c r="B172" i="56" s="1"/>
  <c r="L34" i="56"/>
  <c r="B34" i="56" s="1"/>
  <c r="L162" i="56"/>
  <c r="B162" i="56" s="1"/>
  <c r="L154" i="56"/>
  <c r="B154" i="56" s="1"/>
  <c r="L165" i="56"/>
  <c r="B165" i="56" s="1"/>
  <c r="L161" i="56"/>
  <c r="B161" i="56" s="1"/>
  <c r="L166" i="56"/>
  <c r="B166" i="56" s="1"/>
  <c r="L169" i="56"/>
  <c r="B169" i="56" s="1"/>
  <c r="L156" i="56"/>
  <c r="B156" i="56" s="1"/>
  <c r="L163" i="56"/>
  <c r="B163" i="56" s="1"/>
  <c r="L33" i="56"/>
  <c r="B33" i="56" s="1"/>
  <c r="L157" i="56"/>
  <c r="B157" i="56" s="1"/>
  <c r="L153" i="56"/>
  <c r="B153" i="56" s="1"/>
  <c r="L171" i="56"/>
  <c r="B171" i="56" s="1"/>
  <c r="L174" i="56"/>
  <c r="B174" i="56" s="1"/>
  <c r="L155" i="56"/>
  <c r="B155" i="56" s="1"/>
  <c r="L159" i="56"/>
  <c r="B159" i="56" s="1"/>
  <c r="L175" i="56"/>
  <c r="B175" i="56" s="1"/>
  <c r="L152" i="56"/>
  <c r="B152" i="56" s="1"/>
  <c r="L205" i="56"/>
  <c r="B205" i="56" s="1"/>
  <c r="L185" i="56"/>
  <c r="B185" i="56" s="1"/>
  <c r="L201" i="56"/>
  <c r="B201" i="56" s="1"/>
  <c r="L198" i="56"/>
  <c r="B198" i="56" s="1"/>
  <c r="L189" i="56"/>
  <c r="B189" i="56" s="1"/>
  <c r="L191" i="56"/>
  <c r="B191" i="56" s="1"/>
  <c r="L204" i="56"/>
  <c r="B204" i="56" s="1"/>
  <c r="L193" i="56"/>
  <c r="B193" i="56" s="1"/>
  <c r="L182" i="56"/>
  <c r="B182" i="56" s="1"/>
  <c r="L194" i="56"/>
  <c r="B194" i="56" s="1"/>
  <c r="L203" i="56"/>
  <c r="B203" i="56" s="1"/>
  <c r="L196" i="56"/>
  <c r="B196" i="56" s="1"/>
  <c r="L183" i="56"/>
  <c r="B183" i="56" s="1"/>
  <c r="L186" i="56"/>
  <c r="B186" i="56" s="1"/>
  <c r="L202" i="56"/>
  <c r="B202" i="56" s="1"/>
  <c r="L199" i="56"/>
  <c r="B199" i="56" s="1"/>
  <c r="L187" i="56"/>
  <c r="B187" i="56" s="1"/>
  <c r="L181" i="56"/>
  <c r="B181" i="56" s="1"/>
  <c r="L195" i="56"/>
  <c r="B195" i="56" s="1"/>
  <c r="L200" i="56"/>
  <c r="B200" i="56" s="1"/>
  <c r="L188" i="56"/>
  <c r="B188" i="56" s="1"/>
  <c r="L184" i="56"/>
  <c r="B184" i="56" s="1"/>
  <c r="L197" i="56"/>
  <c r="B197" i="56" s="1"/>
  <c r="L192" i="56"/>
  <c r="B192" i="56" s="1"/>
  <c r="L190" i="56"/>
  <c r="B190" i="56" s="1"/>
  <c r="J5" i="154" l="1"/>
  <c r="L151" i="56"/>
  <c r="B151" i="56" s="1"/>
  <c r="I4" i="154" l="1"/>
  <c r="I5" i="154" l="1"/>
  <c r="C4" i="154" l="1"/>
  <c r="L150" i="56" s="1"/>
  <c r="B150" i="56" s="1"/>
  <c r="L217" i="56" l="1"/>
  <c r="H11" i="58" s="1"/>
  <c r="H8" i="58" l="1"/>
  <c r="K105" i="139" l="1"/>
  <c r="G689" i="56" s="1"/>
  <c r="L689" i="56" s="1"/>
  <c r="B689" i="56" s="1"/>
  <c r="D67" i="153" l="1"/>
  <c r="D63" i="77"/>
  <c r="AW13" i="149" l="1"/>
  <c r="BC13" i="149" s="1"/>
  <c r="AW31" i="149"/>
  <c r="BC31" i="149" s="1"/>
  <c r="AW11" i="149"/>
  <c r="BC11" i="149" s="1"/>
  <c r="AW37" i="149"/>
  <c r="BC37" i="149" s="1"/>
  <c r="AW27" i="149"/>
  <c r="BC27" i="149" s="1"/>
  <c r="AW35" i="149"/>
  <c r="BC35" i="149" s="1"/>
  <c r="AW15" i="149"/>
  <c r="BC15" i="149" s="1"/>
  <c r="AW18" i="149"/>
  <c r="BC18" i="149" s="1"/>
  <c r="AW22" i="149"/>
  <c r="BC22" i="149" s="1"/>
  <c r="AW32" i="149"/>
  <c r="BC32" i="149" s="1"/>
  <c r="AW23" i="149"/>
  <c r="BC23" i="149" s="1"/>
  <c r="AW28" i="149"/>
  <c r="BC28" i="149" s="1"/>
  <c r="AW33" i="149"/>
  <c r="BC33" i="149" s="1"/>
  <c r="AW30" i="149"/>
  <c r="BC30" i="149" s="1"/>
  <c r="AW29" i="149"/>
  <c r="BC29" i="149" s="1"/>
  <c r="AW14" i="149"/>
  <c r="BC14" i="149" s="1"/>
  <c r="AW17" i="149"/>
  <c r="BC17" i="149" s="1"/>
  <c r="AW24" i="149"/>
  <c r="BC24" i="149" s="1"/>
  <c r="AW36" i="149"/>
  <c r="BC36" i="149" s="1"/>
  <c r="AW12" i="149"/>
  <c r="BC12" i="149" s="1"/>
  <c r="AW26" i="149"/>
  <c r="BC26" i="149" s="1"/>
  <c r="AW16" i="149"/>
  <c r="BC16" i="149" s="1"/>
  <c r="AW38" i="149"/>
  <c r="BC38" i="149" s="1"/>
  <c r="AW34" i="149"/>
  <c r="BC34" i="149" s="1"/>
  <c r="AW25" i="149"/>
  <c r="BC25" i="149" s="1"/>
  <c r="AW20" i="149"/>
  <c r="BC20" i="149" s="1"/>
  <c r="AW19" i="149"/>
  <c r="BC19" i="149" s="1"/>
  <c r="AW39" i="149"/>
  <c r="BC39" i="149" s="1"/>
  <c r="D62" i="77"/>
  <c r="D66" i="153"/>
  <c r="AW10" i="149"/>
  <c r="BC10" i="149" s="1"/>
  <c r="D61" i="77"/>
  <c r="D65" i="153"/>
  <c r="T87" i="153" l="1"/>
  <c r="U87" i="153"/>
  <c r="V87" i="153"/>
  <c r="W87" i="153"/>
  <c r="X87" i="153"/>
  <c r="S87" i="153"/>
  <c r="BC41" i="149"/>
  <c r="BH38" i="149"/>
  <c r="M82" i="77"/>
  <c r="M84" i="77" s="1"/>
  <c r="J82" i="77"/>
  <c r="J84" i="77" s="1"/>
  <c r="F82" i="77"/>
  <c r="F84" i="77" s="1"/>
  <c r="N82" i="77"/>
  <c r="N84" i="77" s="1"/>
  <c r="G82" i="77"/>
  <c r="G84" i="77" s="1"/>
  <c r="H82" i="77"/>
  <c r="H84" i="77" s="1"/>
  <c r="K82" i="77"/>
  <c r="K84" i="77" s="1"/>
  <c r="L82" i="77"/>
  <c r="L84" i="77" s="1"/>
  <c r="I82" i="77"/>
  <c r="I84" i="77" s="1"/>
  <c r="I87" i="153"/>
  <c r="Q87" i="153"/>
  <c r="J87" i="153"/>
  <c r="R87" i="153"/>
  <c r="K87" i="153"/>
  <c r="L87" i="153"/>
  <c r="P87" i="153"/>
  <c r="M87" i="153"/>
  <c r="G87" i="153"/>
  <c r="H87" i="153"/>
  <c r="F87" i="153"/>
  <c r="N87" i="153"/>
  <c r="O87" i="153"/>
  <c r="Q82" i="77"/>
  <c r="Q84" i="77" s="1"/>
  <c r="E82" i="77"/>
  <c r="E84" i="77" s="1"/>
  <c r="O82" i="77"/>
  <c r="O84" i="77" s="1"/>
  <c r="P82" i="77"/>
  <c r="P84" i="77" s="1"/>
  <c r="L692" i="56"/>
  <c r="H17" i="58" s="1"/>
  <c r="E87" i="153"/>
  <c r="G421" i="56" l="1"/>
  <c r="I6" i="77"/>
  <c r="K6" i="77"/>
  <c r="H6" i="77"/>
  <c r="G6" i="77"/>
  <c r="J6" i="77"/>
  <c r="M6" i="77"/>
  <c r="N6" i="77"/>
  <c r="L6" i="77"/>
  <c r="O86" i="77"/>
  <c r="E6" i="77"/>
  <c r="P86" i="77"/>
  <c r="L425" i="56"/>
  <c r="B425" i="56" s="1"/>
  <c r="Q86" i="77"/>
  <c r="Q6" i="77"/>
  <c r="M119" i="152" s="1"/>
  <c r="P6" i="77"/>
  <c r="L119" i="152" s="1"/>
  <c r="O6" i="77"/>
  <c r="K119" i="152" s="1"/>
  <c r="F421" i="56" l="1"/>
  <c r="F6" i="77"/>
  <c r="B4" i="77" s="1"/>
  <c r="L424" i="56"/>
  <c r="B424" i="56" s="1"/>
  <c r="L423" i="56"/>
  <c r="B423" i="56" s="1"/>
  <c r="K120" i="152" l="1"/>
  <c r="M120" i="152"/>
  <c r="L120" i="152"/>
  <c r="L421" i="56"/>
  <c r="B421" i="56" s="1"/>
  <c r="L3" i="152" l="1"/>
  <c r="L422" i="56" s="1"/>
  <c r="B422" i="56" s="1"/>
  <c r="BD5" i="149"/>
  <c r="E36" i="145"/>
  <c r="G36" i="145" s="1"/>
  <c r="J36" i="145" s="1"/>
  <c r="BD11" i="149" l="1"/>
  <c r="BD10" i="149"/>
  <c r="BD41" i="149" l="1"/>
  <c r="E37" i="145"/>
  <c r="G37" i="145" s="1"/>
  <c r="J37" i="145" s="1"/>
  <c r="J43" i="145" s="1"/>
  <c r="E3" i="145" s="1"/>
  <c r="BE5" i="149"/>
  <c r="BE10" i="149" s="1"/>
  <c r="H75" i="147" l="1"/>
  <c r="K75" i="147" s="1"/>
  <c r="H74" i="147"/>
  <c r="K74" i="147" s="1"/>
  <c r="H76" i="147"/>
  <c r="K76" i="147" s="1"/>
  <c r="L404" i="56"/>
  <c r="B404" i="56" s="1"/>
  <c r="L351" i="56"/>
  <c r="B351" i="56" s="1"/>
  <c r="BF10" i="149"/>
  <c r="L349" i="56"/>
  <c r="B349" i="56" s="1"/>
  <c r="BE33" i="149"/>
  <c r="BF33" i="149" s="1"/>
  <c r="BJ33" i="149" s="1"/>
  <c r="BE39" i="149"/>
  <c r="BF39" i="149" s="1"/>
  <c r="BJ39" i="149" s="1"/>
  <c r="BE31" i="149"/>
  <c r="BF31" i="149" s="1"/>
  <c r="BJ31" i="149" s="1"/>
  <c r="BE25" i="149"/>
  <c r="BF25" i="149" s="1"/>
  <c r="BJ25" i="149" s="1"/>
  <c r="BE37" i="149"/>
  <c r="BF37" i="149" s="1"/>
  <c r="BJ37" i="149" s="1"/>
  <c r="BE30" i="149"/>
  <c r="BF30" i="149" s="1"/>
  <c r="BJ30" i="149" s="1"/>
  <c r="BE18" i="149"/>
  <c r="BF18" i="149" s="1"/>
  <c r="BJ18" i="149" s="1"/>
  <c r="BE29" i="149"/>
  <c r="BF29" i="149" s="1"/>
  <c r="BJ29" i="149" s="1"/>
  <c r="BE19" i="149"/>
  <c r="BF19" i="149" s="1"/>
  <c r="BJ19" i="149" s="1"/>
  <c r="BE12" i="149"/>
  <c r="BF12" i="149" s="1"/>
  <c r="BJ12" i="149" s="1"/>
  <c r="BE22" i="149"/>
  <c r="BF22" i="149" s="1"/>
  <c r="BJ22" i="149" s="1"/>
  <c r="BE27" i="149"/>
  <c r="BF27" i="149" s="1"/>
  <c r="BJ27" i="149" s="1"/>
  <c r="BE35" i="149"/>
  <c r="BF35" i="149" s="1"/>
  <c r="BJ35" i="149" s="1"/>
  <c r="BE38" i="149"/>
  <c r="BF38" i="149" s="1"/>
  <c r="BJ38" i="149" s="1"/>
  <c r="BE16" i="149"/>
  <c r="BF16" i="149" s="1"/>
  <c r="BJ16" i="149" s="1"/>
  <c r="BE14" i="149"/>
  <c r="BF14" i="149" s="1"/>
  <c r="BJ14" i="149" s="1"/>
  <c r="BE24" i="149"/>
  <c r="BF24" i="149" s="1"/>
  <c r="BJ24" i="149" s="1"/>
  <c r="BE23" i="149"/>
  <c r="BF23" i="149" s="1"/>
  <c r="BJ23" i="149" s="1"/>
  <c r="BE20" i="149"/>
  <c r="BF20" i="149" s="1"/>
  <c r="BJ20" i="149" s="1"/>
  <c r="BE36" i="149"/>
  <c r="BF36" i="149" s="1"/>
  <c r="BJ36" i="149" s="1"/>
  <c r="BE13" i="149"/>
  <c r="BF13" i="149" s="1"/>
  <c r="BJ13" i="149" s="1"/>
  <c r="BE34" i="149"/>
  <c r="BF34" i="149" s="1"/>
  <c r="BJ34" i="149" s="1"/>
  <c r="BE28" i="149"/>
  <c r="BF28" i="149" s="1"/>
  <c r="BJ28" i="149" s="1"/>
  <c r="BE17" i="149"/>
  <c r="BF17" i="149" s="1"/>
  <c r="BJ17" i="149" s="1"/>
  <c r="BE11" i="149"/>
  <c r="BF11" i="149" s="1"/>
  <c r="BE26" i="149"/>
  <c r="BF26" i="149" s="1"/>
  <c r="BJ26" i="149" s="1"/>
  <c r="BE15" i="149"/>
  <c r="BF15" i="149" s="1"/>
  <c r="BJ15" i="149" s="1"/>
  <c r="BE32" i="149"/>
  <c r="BF32" i="149" s="1"/>
  <c r="BJ32" i="149" s="1"/>
  <c r="BE21" i="149"/>
  <c r="BF21" i="149" s="1"/>
  <c r="BJ21" i="149" s="1"/>
  <c r="L380" i="56"/>
  <c r="B380" i="56" s="1"/>
  <c r="O60" i="152"/>
  <c r="O61" i="152" s="1"/>
  <c r="K103" i="147" l="1"/>
  <c r="L103" i="147" s="1"/>
  <c r="G707" i="56" s="1"/>
  <c r="L707" i="56" s="1"/>
  <c r="G708" i="56"/>
  <c r="L708" i="56" s="1"/>
  <c r="B708" i="56" s="1"/>
  <c r="Q31" i="152"/>
  <c r="Q32" i="152" s="1"/>
  <c r="L510" i="56"/>
  <c r="B510" i="56" s="1"/>
  <c r="L382" i="56"/>
  <c r="B382" i="56" s="1"/>
  <c r="Q60" i="152"/>
  <c r="Q61" i="152" s="1"/>
  <c r="L350" i="56"/>
  <c r="B350" i="56" s="1"/>
  <c r="BH10" i="149"/>
  <c r="BG10" i="149"/>
  <c r="BJ11" i="149"/>
  <c r="BH11" i="149"/>
  <c r="L473" i="56"/>
  <c r="B473" i="56" s="1"/>
  <c r="Q89" i="152"/>
  <c r="Q90" i="152" s="1"/>
  <c r="M89" i="152"/>
  <c r="M90" i="152" s="1"/>
  <c r="L401" i="56"/>
  <c r="K148" i="152"/>
  <c r="K149" i="152" s="1"/>
  <c r="L148" i="152"/>
  <c r="L149" i="152" s="1"/>
  <c r="L387" i="56"/>
  <c r="B387" i="56" s="1"/>
  <c r="P89" i="152"/>
  <c r="P90" i="152" s="1"/>
  <c r="L60" i="152"/>
  <c r="L61" i="152" s="1"/>
  <c r="L377" i="56"/>
  <c r="B377" i="56" s="1"/>
  <c r="L402" i="56"/>
  <c r="B402" i="56" s="1"/>
  <c r="L138" i="56"/>
  <c r="B138" i="56" s="1"/>
  <c r="P148" i="152"/>
  <c r="P149" i="152" s="1"/>
  <c r="L391" i="56"/>
  <c r="B391" i="56" s="1"/>
  <c r="R31" i="152"/>
  <c r="R32" i="152" s="1"/>
  <c r="O89" i="152"/>
  <c r="O90" i="152" s="1"/>
  <c r="P31" i="152"/>
  <c r="P32" i="152" s="1"/>
  <c r="Q148" i="152"/>
  <c r="Q149" i="152" s="1"/>
  <c r="L392" i="56"/>
  <c r="B392" i="56" s="1"/>
  <c r="L369" i="56"/>
  <c r="B369" i="56" s="1"/>
  <c r="L403" i="56"/>
  <c r="B403" i="56" s="1"/>
  <c r="N89" i="152"/>
  <c r="N90" i="152" s="1"/>
  <c r="P60" i="152"/>
  <c r="P61" i="152" s="1"/>
  <c r="L381" i="56"/>
  <c r="B381" i="56" s="1"/>
  <c r="S31" i="152"/>
  <c r="S32" i="152" s="1"/>
  <c r="U31" i="152"/>
  <c r="U32" i="152" s="1"/>
  <c r="R89" i="152"/>
  <c r="R90" i="152" s="1"/>
  <c r="M31" i="152"/>
  <c r="M32" i="152" s="1"/>
  <c r="L89" i="152"/>
  <c r="L90" i="152" s="1"/>
  <c r="D51" i="153"/>
  <c r="L353" i="56"/>
  <c r="B353" i="56" s="1"/>
  <c r="L31" i="56"/>
  <c r="B31" i="56" s="1"/>
  <c r="BE41" i="149"/>
  <c r="N148" i="152"/>
  <c r="N149" i="152" s="1"/>
  <c r="K167" i="152"/>
  <c r="K168" i="152" s="1"/>
  <c r="O31" i="152"/>
  <c r="O32" i="152" s="1"/>
  <c r="T31" i="152"/>
  <c r="T32" i="152" s="1"/>
  <c r="R60" i="152"/>
  <c r="R61" i="152" s="1"/>
  <c r="L383" i="56"/>
  <c r="B383" i="56" s="1"/>
  <c r="L378" i="56"/>
  <c r="B378" i="56" s="1"/>
  <c r="M60" i="152"/>
  <c r="M61" i="152" s="1"/>
  <c r="N60" i="152"/>
  <c r="N61" i="152" s="1"/>
  <c r="L379" i="56"/>
  <c r="B379" i="56" s="1"/>
  <c r="L141" i="56"/>
  <c r="B141" i="56" s="1"/>
  <c r="BJ10" i="149"/>
  <c r="BF41" i="149"/>
  <c r="L27" i="56"/>
  <c r="B27" i="56" s="1"/>
  <c r="M148" i="152"/>
  <c r="M149" i="152" s="1"/>
  <c r="L388" i="56"/>
  <c r="B388" i="56" s="1"/>
  <c r="N31" i="152"/>
  <c r="N32" i="152" s="1"/>
  <c r="L167" i="152"/>
  <c r="L168" i="152" s="1"/>
  <c r="L396" i="56"/>
  <c r="B396" i="56" s="1"/>
  <c r="L31" i="152"/>
  <c r="L32" i="152" s="1"/>
  <c r="K89" i="152"/>
  <c r="K90" i="152" s="1"/>
  <c r="O148" i="152"/>
  <c r="O149" i="152" s="1"/>
  <c r="L352" i="56"/>
  <c r="B352" i="56" s="1"/>
  <c r="BJ41" i="149" l="1"/>
  <c r="BK41" i="149" s="1"/>
  <c r="B707" i="56"/>
  <c r="L728" i="56"/>
  <c r="H18" i="58" s="1"/>
  <c r="L549" i="56"/>
  <c r="B549" i="56" s="1"/>
  <c r="L530" i="56"/>
  <c r="B530" i="56" s="1"/>
  <c r="L482" i="56"/>
  <c r="B482" i="56" s="1"/>
  <c r="L515" i="56"/>
  <c r="B515" i="56" s="1"/>
  <c r="L487" i="56"/>
  <c r="B487" i="56" s="1"/>
  <c r="BH74" i="141"/>
  <c r="BH75" i="141" s="1"/>
  <c r="L519" i="56"/>
  <c r="B519" i="56" s="1"/>
  <c r="I3" i="152"/>
  <c r="L394" i="56" s="1"/>
  <c r="B394" i="56" s="1"/>
  <c r="L363" i="56"/>
  <c r="B363" i="56" s="1"/>
  <c r="L462" i="56"/>
  <c r="B462" i="56" s="1"/>
  <c r="L419" i="56"/>
  <c r="B419" i="56" s="1"/>
  <c r="L513" i="56"/>
  <c r="B513" i="56" s="1"/>
  <c r="L26" i="56"/>
  <c r="B26" i="56" s="1"/>
  <c r="L468" i="56"/>
  <c r="B468" i="56" s="1"/>
  <c r="L364" i="56"/>
  <c r="B364" i="56" s="1"/>
  <c r="L520" i="56"/>
  <c r="B520" i="56" s="1"/>
  <c r="L480" i="56"/>
  <c r="B480" i="56" s="1"/>
  <c r="L129" i="56"/>
  <c r="B129" i="56" s="1"/>
  <c r="L502" i="56"/>
  <c r="B502" i="56" s="1"/>
  <c r="L497" i="56"/>
  <c r="B497" i="56" s="1"/>
  <c r="L529" i="56"/>
  <c r="B529" i="56" s="1"/>
  <c r="L538" i="56"/>
  <c r="B538" i="56" s="1"/>
  <c r="L373" i="56"/>
  <c r="B373" i="56" s="1"/>
  <c r="L489" i="56"/>
  <c r="B489" i="56" s="1"/>
  <c r="K60" i="152"/>
  <c r="K61" i="152" s="1"/>
  <c r="K31" i="152"/>
  <c r="K32" i="152" s="1"/>
  <c r="F3" i="152" s="1"/>
  <c r="L361" i="56" s="1"/>
  <c r="B361" i="56" s="1"/>
  <c r="L508" i="56"/>
  <c r="B508" i="56" s="1"/>
  <c r="L460" i="56"/>
  <c r="B460" i="56" s="1"/>
  <c r="L504" i="56"/>
  <c r="B504" i="56" s="1"/>
  <c r="L466" i="56"/>
  <c r="B466" i="56" s="1"/>
  <c r="L493" i="56"/>
  <c r="B493" i="56" s="1"/>
  <c r="L470" i="56"/>
  <c r="B470" i="56" s="1"/>
  <c r="L418" i="56"/>
  <c r="B418" i="56" s="1"/>
  <c r="H3" i="152"/>
  <c r="L385" i="56" s="1"/>
  <c r="B385" i="56" s="1"/>
  <c r="B401" i="56"/>
  <c r="L409" i="56"/>
  <c r="H14" i="58" s="1"/>
  <c r="L491" i="56"/>
  <c r="B491" i="56" s="1"/>
  <c r="L527" i="56"/>
  <c r="B527" i="56" s="1"/>
  <c r="L484" i="56"/>
  <c r="B484" i="56" s="1"/>
  <c r="L30" i="56"/>
  <c r="B30" i="56" s="1"/>
  <c r="L525" i="56"/>
  <c r="B525" i="56" s="1"/>
  <c r="L464" i="56"/>
  <c r="B464" i="56" s="1"/>
  <c r="L461" i="56"/>
  <c r="B461" i="56" s="1"/>
  <c r="L558" i="56"/>
  <c r="B558" i="56" s="1"/>
  <c r="L368" i="56"/>
  <c r="B368" i="56" s="1"/>
  <c r="L494" i="56"/>
  <c r="B494" i="56" s="1"/>
  <c r="L459" i="56"/>
  <c r="B459" i="56" s="1"/>
  <c r="L455" i="56"/>
  <c r="B455" i="56" s="1"/>
  <c r="L457" i="56"/>
  <c r="B457" i="56" s="1"/>
  <c r="L386" i="56"/>
  <c r="B386" i="56" s="1"/>
  <c r="L539" i="56"/>
  <c r="B539" i="56" s="1"/>
  <c r="L546" i="56"/>
  <c r="B546" i="56" s="1"/>
  <c r="L509" i="56"/>
  <c r="B509" i="56" s="1"/>
  <c r="L448" i="56"/>
  <c r="B448" i="56" s="1"/>
  <c r="L28" i="56"/>
  <c r="B28" i="56" s="1"/>
  <c r="L550" i="56"/>
  <c r="B550" i="56" s="1"/>
  <c r="L498" i="56"/>
  <c r="B498" i="56" s="1"/>
  <c r="L535" i="56"/>
  <c r="B535" i="56" s="1"/>
  <c r="L451" i="56"/>
  <c r="B451" i="56" s="1"/>
  <c r="L437" i="56"/>
  <c r="D4" i="149"/>
  <c r="L446" i="56"/>
  <c r="B446" i="56" s="1"/>
  <c r="L441" i="56"/>
  <c r="B441" i="56" s="1"/>
  <c r="L557" i="56"/>
  <c r="B557" i="56" s="1"/>
  <c r="L559" i="56"/>
  <c r="B559" i="56" s="1"/>
  <c r="L390" i="56"/>
  <c r="B390" i="56" s="1"/>
  <c r="L564" i="56"/>
  <c r="B564" i="56" s="1"/>
  <c r="L367" i="56"/>
  <c r="B367" i="56" s="1"/>
  <c r="L389" i="56"/>
  <c r="B389" i="56" s="1"/>
  <c r="L414" i="56"/>
  <c r="B414" i="56" s="1"/>
  <c r="L420" i="56"/>
  <c r="B420" i="56" s="1"/>
  <c r="L449" i="56"/>
  <c r="B449" i="56" s="1"/>
  <c r="L452" i="56"/>
  <c r="B452" i="56" s="1"/>
  <c r="L543" i="56"/>
  <c r="B543" i="56" s="1"/>
  <c r="L490" i="56"/>
  <c r="B490" i="56" s="1"/>
  <c r="L492" i="56"/>
  <c r="B492" i="56" s="1"/>
  <c r="L552" i="56"/>
  <c r="B552" i="56" s="1"/>
  <c r="L521" i="56"/>
  <c r="B521" i="56" s="1"/>
  <c r="L555" i="56"/>
  <c r="B555" i="56" s="1"/>
  <c r="L456" i="56"/>
  <c r="B456" i="56" s="1"/>
  <c r="L495" i="56"/>
  <c r="B495" i="56" s="1"/>
  <c r="L24" i="56"/>
  <c r="B24" i="56" s="1"/>
  <c r="L563" i="56"/>
  <c r="B563" i="56" s="1"/>
  <c r="L499" i="56"/>
  <c r="B499" i="56" s="1"/>
  <c r="L475" i="56"/>
  <c r="B475" i="56" s="1"/>
  <c r="L500" i="56"/>
  <c r="B500" i="56" s="1"/>
  <c r="L560" i="56"/>
  <c r="B560" i="56" s="1"/>
  <c r="L476" i="56"/>
  <c r="B476" i="56" s="1"/>
  <c r="L568" i="56"/>
  <c r="B568" i="56" s="1"/>
  <c r="L488" i="56"/>
  <c r="B488" i="56" s="1"/>
  <c r="L531" i="56"/>
  <c r="B531" i="56" s="1"/>
  <c r="L523" i="56"/>
  <c r="B523" i="56" s="1"/>
  <c r="L453" i="56"/>
  <c r="B453" i="56" s="1"/>
  <c r="L483" i="56"/>
  <c r="B483" i="56" s="1"/>
  <c r="L365" i="56"/>
  <c r="B365" i="56" s="1"/>
  <c r="L503" i="56"/>
  <c r="B503" i="56" s="1"/>
  <c r="L465" i="56"/>
  <c r="B465" i="56" s="1"/>
  <c r="L445" i="56"/>
  <c r="B445" i="56" s="1"/>
  <c r="L140" i="56"/>
  <c r="B140" i="56" s="1"/>
  <c r="L571" i="56"/>
  <c r="B571" i="56" s="1"/>
  <c r="L463" i="56"/>
  <c r="B463" i="56" s="1"/>
  <c r="L533" i="56"/>
  <c r="B533" i="56" s="1"/>
  <c r="L442" i="56"/>
  <c r="B442" i="56" s="1"/>
  <c r="L514" i="56"/>
  <c r="B514" i="56" s="1"/>
  <c r="L547" i="56"/>
  <c r="B547" i="56" s="1"/>
  <c r="L532" i="56"/>
  <c r="B532" i="56" s="1"/>
  <c r="L366" i="56"/>
  <c r="B366" i="56" s="1"/>
  <c r="L566" i="56"/>
  <c r="B566" i="56" s="1"/>
  <c r="L32" i="56"/>
  <c r="B32" i="56" s="1"/>
  <c r="L537" i="56"/>
  <c r="B537" i="56" s="1"/>
  <c r="L507" i="56"/>
  <c r="B507" i="56" s="1"/>
  <c r="L485" i="56"/>
  <c r="B485" i="56" s="1"/>
  <c r="L548" i="56"/>
  <c r="B548" i="56" s="1"/>
  <c r="L23" i="56"/>
  <c r="B23" i="56" s="1"/>
  <c r="L416" i="56"/>
  <c r="B416" i="56" s="1"/>
  <c r="L556" i="56"/>
  <c r="B556" i="56" s="1"/>
  <c r="L478" i="56"/>
  <c r="B478" i="56" s="1"/>
  <c r="L370" i="56"/>
  <c r="B370" i="56" s="1"/>
  <c r="L479" i="56"/>
  <c r="B479" i="56" s="1"/>
  <c r="L567" i="56"/>
  <c r="B567" i="56" s="1"/>
  <c r="L524" i="56"/>
  <c r="B524" i="56" s="1"/>
  <c r="L528" i="56"/>
  <c r="B528" i="56" s="1"/>
  <c r="L415" i="56"/>
  <c r="B415" i="56" s="1"/>
  <c r="L443" i="56"/>
  <c r="B443" i="56" s="1"/>
  <c r="L534" i="56"/>
  <c r="B534" i="56" s="1"/>
  <c r="L553" i="56"/>
  <c r="B553" i="56" s="1"/>
  <c r="L512" i="56"/>
  <c r="B512" i="56" s="1"/>
  <c r="L565" i="56"/>
  <c r="B565" i="56" s="1"/>
  <c r="L469" i="56"/>
  <c r="B469" i="56" s="1"/>
  <c r="L477" i="56"/>
  <c r="B477" i="56" s="1"/>
  <c r="L551" i="56"/>
  <c r="B551" i="56" s="1"/>
  <c r="L413" i="56"/>
  <c r="B413" i="56" s="1"/>
  <c r="L444" i="56"/>
  <c r="B444" i="56" s="1"/>
  <c r="L545" i="56"/>
  <c r="B545" i="56" s="1"/>
  <c r="L496" i="56"/>
  <c r="B496" i="56" s="1"/>
  <c r="L481" i="56"/>
  <c r="B481" i="56" s="1"/>
  <c r="L372" i="56"/>
  <c r="B372" i="56" s="1"/>
  <c r="L467" i="56"/>
  <c r="B467" i="56" s="1"/>
  <c r="L25" i="56"/>
  <c r="B25" i="56" s="1"/>
  <c r="AI74" i="141"/>
  <c r="AI75" i="141" s="1"/>
  <c r="L561" i="56"/>
  <c r="B561" i="56" s="1"/>
  <c r="L371" i="56"/>
  <c r="B371" i="56" s="1"/>
  <c r="L472" i="56"/>
  <c r="B472" i="56" s="1"/>
  <c r="L505" i="56"/>
  <c r="B505" i="56" s="1"/>
  <c r="L570" i="56"/>
  <c r="B570" i="56" s="1"/>
  <c r="L516" i="56"/>
  <c r="B516" i="56" s="1"/>
  <c r="L526" i="56"/>
  <c r="B526" i="56" s="1"/>
  <c r="L554" i="56"/>
  <c r="B554" i="56" s="1"/>
  <c r="L450" i="56"/>
  <c r="B450" i="56" s="1"/>
  <c r="L562" i="56"/>
  <c r="B562" i="56" s="1"/>
  <c r="L29" i="56"/>
  <c r="B29" i="56" s="1"/>
  <c r="L458" i="56"/>
  <c r="B458" i="56" s="1"/>
  <c r="L447" i="56"/>
  <c r="B447" i="56" s="1"/>
  <c r="L522" i="56"/>
  <c r="B522" i="56" s="1"/>
  <c r="L454" i="56"/>
  <c r="B454" i="56" s="1"/>
  <c r="L474" i="56"/>
  <c r="B474" i="56" s="1"/>
  <c r="L517" i="56"/>
  <c r="B517" i="56" s="1"/>
  <c r="L417" i="56"/>
  <c r="B417" i="56" s="1"/>
  <c r="L518" i="56"/>
  <c r="B518" i="56" s="1"/>
  <c r="L501" i="56"/>
  <c r="B501" i="56" s="1"/>
  <c r="L541" i="56"/>
  <c r="B541" i="56" s="1"/>
  <c r="L511" i="56"/>
  <c r="B511" i="56" s="1"/>
  <c r="L471" i="56"/>
  <c r="B471" i="56" s="1"/>
  <c r="K3" i="152"/>
  <c r="L412" i="56" s="1"/>
  <c r="B412" i="56" s="1"/>
  <c r="L439" i="56"/>
  <c r="B439" i="56" s="1"/>
  <c r="L395" i="56"/>
  <c r="B395" i="56" s="1"/>
  <c r="L569" i="56"/>
  <c r="B569" i="56" s="1"/>
  <c r="V81" i="153"/>
  <c r="V90" i="153" s="1"/>
  <c r="V6" i="153" s="1"/>
  <c r="T81" i="153"/>
  <c r="T90" i="153" s="1"/>
  <c r="T6" i="153" s="1"/>
  <c r="L81" i="153"/>
  <c r="L90" i="153" s="1"/>
  <c r="L6" i="153" s="1"/>
  <c r="J81" i="153"/>
  <c r="J90" i="153" s="1"/>
  <c r="J6" i="153" s="1"/>
  <c r="P81" i="153"/>
  <c r="P90" i="153" s="1"/>
  <c r="P6" i="153" s="1"/>
  <c r="W81" i="153"/>
  <c r="W90" i="153" s="1"/>
  <c r="W6" i="153" s="1"/>
  <c r="K81" i="153"/>
  <c r="K90" i="153" s="1"/>
  <c r="K6" i="153" s="1"/>
  <c r="M81" i="153"/>
  <c r="M90" i="153" s="1"/>
  <c r="M6" i="153" s="1"/>
  <c r="O81" i="153"/>
  <c r="O90" i="153" s="1"/>
  <c r="O6" i="153" s="1"/>
  <c r="G81" i="153"/>
  <c r="G90" i="153" s="1"/>
  <c r="G6" i="153" s="1"/>
  <c r="AA6" i="153" s="1"/>
  <c r="H81" i="153"/>
  <c r="H90" i="153" s="1"/>
  <c r="H6" i="153" s="1"/>
  <c r="I81" i="153"/>
  <c r="I90" i="153" s="1"/>
  <c r="I6" i="153" s="1"/>
  <c r="N81" i="153"/>
  <c r="N90" i="153" s="1"/>
  <c r="N6" i="153" s="1"/>
  <c r="Q81" i="153"/>
  <c r="Q90" i="153" s="1"/>
  <c r="Q6" i="153" s="1"/>
  <c r="X81" i="153"/>
  <c r="X90" i="153" s="1"/>
  <c r="X6" i="153" s="1"/>
  <c r="R81" i="153"/>
  <c r="R90" i="153" s="1"/>
  <c r="R6" i="153" s="1"/>
  <c r="S81" i="153"/>
  <c r="S90" i="153" s="1"/>
  <c r="S6" i="153" s="1"/>
  <c r="F81" i="153"/>
  <c r="F90" i="153" s="1"/>
  <c r="F6" i="153" s="1"/>
  <c r="AB6" i="153" s="1"/>
  <c r="U81" i="153"/>
  <c r="U90" i="153" s="1"/>
  <c r="U6" i="153" s="1"/>
  <c r="E81" i="153"/>
  <c r="E90" i="153" s="1"/>
  <c r="E6" i="153" s="1"/>
  <c r="L358" i="56"/>
  <c r="H12" i="58" s="1"/>
  <c r="L542" i="56"/>
  <c r="B542" i="56" s="1"/>
  <c r="L536" i="56"/>
  <c r="B536" i="56" s="1"/>
  <c r="L440" i="56"/>
  <c r="B440" i="56" s="1"/>
  <c r="L540" i="56"/>
  <c r="B540" i="56" s="1"/>
  <c r="L544" i="56"/>
  <c r="B544" i="56" s="1"/>
  <c r="L506" i="56"/>
  <c r="B506" i="56" s="1"/>
  <c r="L486" i="56"/>
  <c r="B486" i="56" s="1"/>
  <c r="L139" i="56"/>
  <c r="B139" i="56" s="1"/>
  <c r="AJ74" i="141" l="1"/>
  <c r="AJ75" i="141" s="1"/>
  <c r="AF74" i="141"/>
  <c r="AF75" i="141" s="1"/>
  <c r="L619" i="56"/>
  <c r="B619" i="56" s="1"/>
  <c r="AG74" i="141"/>
  <c r="AG75" i="141" s="1"/>
  <c r="AC6" i="153"/>
  <c r="F384" i="56" s="1"/>
  <c r="G3" i="152"/>
  <c r="L376" i="56" s="1"/>
  <c r="B376" i="56" s="1"/>
  <c r="G374" i="56"/>
  <c r="F374" i="56"/>
  <c r="G393" i="56"/>
  <c r="F393" i="56"/>
  <c r="L49" i="56"/>
  <c r="BD74" i="141"/>
  <c r="BD75" i="141" s="1"/>
  <c r="L595" i="56"/>
  <c r="B595" i="56" s="1"/>
  <c r="X74" i="141"/>
  <c r="X75" i="141" s="1"/>
  <c r="L592" i="56"/>
  <c r="B592" i="56" s="1"/>
  <c r="AV74" i="141"/>
  <c r="AV75" i="141" s="1"/>
  <c r="BE74" i="141"/>
  <c r="BE75" i="141" s="1"/>
  <c r="BF74" i="141"/>
  <c r="BF75" i="141" s="1"/>
  <c r="L148" i="56"/>
  <c r="H10" i="58" s="1"/>
  <c r="AS74" i="141"/>
  <c r="AS75" i="141" s="1"/>
  <c r="AC74" i="141"/>
  <c r="AC75" i="141" s="1"/>
  <c r="L588" i="56"/>
  <c r="B588" i="56" s="1"/>
  <c r="AQ74" i="141"/>
  <c r="AQ75" i="141" s="1"/>
  <c r="AU74" i="141"/>
  <c r="AU75" i="141" s="1"/>
  <c r="AM74" i="141"/>
  <c r="AM75" i="141" s="1"/>
  <c r="AR74" i="141"/>
  <c r="AR75" i="141" s="1"/>
  <c r="L591" i="56"/>
  <c r="B591" i="56" s="1"/>
  <c r="AT74" i="141"/>
  <c r="AT75" i="141" s="1"/>
  <c r="T74" i="141"/>
  <c r="T75" i="141" s="1"/>
  <c r="L594" i="56"/>
  <c r="B594" i="56" s="1"/>
  <c r="U74" i="141"/>
  <c r="U75" i="141" s="1"/>
  <c r="AE74" i="141"/>
  <c r="AE75" i="141" s="1"/>
  <c r="L133" i="56"/>
  <c r="H9" i="58" s="1"/>
  <c r="B5" i="153"/>
  <c r="Z6" i="153"/>
  <c r="BG74" i="141"/>
  <c r="BG75" i="141" s="1"/>
  <c r="W74" i="141"/>
  <c r="W75" i="141" s="1"/>
  <c r="B437" i="56"/>
  <c r="L613" i="56" l="1"/>
  <c r="B613" i="56" s="1"/>
  <c r="G384" i="56"/>
  <c r="L384" i="56" s="1"/>
  <c r="B384" i="56" s="1"/>
  <c r="Z74" i="141"/>
  <c r="Z75" i="141" s="1"/>
  <c r="K362" i="56"/>
  <c r="L362" i="56" s="1"/>
  <c r="B362" i="56" s="1"/>
  <c r="K411" i="56"/>
  <c r="L411" i="56" s="1"/>
  <c r="L393" i="56"/>
  <c r="B393" i="56" s="1"/>
  <c r="L374" i="56"/>
  <c r="B374" i="56" s="1"/>
  <c r="L587" i="56"/>
  <c r="B587" i="56" s="1"/>
  <c r="AB74" i="141"/>
  <c r="AB75" i="141" s="1"/>
  <c r="L585" i="56"/>
  <c r="B585" i="56" s="1"/>
  <c r="AH74" i="141"/>
  <c r="AH75" i="141" s="1"/>
  <c r="L590" i="56"/>
  <c r="B590" i="56" s="1"/>
  <c r="L612" i="56"/>
  <c r="B612" i="56" s="1"/>
  <c r="BA74" i="141"/>
  <c r="BA75" i="141" s="1"/>
  <c r="L605" i="56"/>
  <c r="B605" i="56" s="1"/>
  <c r="L599" i="56"/>
  <c r="B599" i="56" s="1"/>
  <c r="AN74" i="141"/>
  <c r="AN75" i="141" s="1"/>
  <c r="BC74" i="141"/>
  <c r="BC75" i="141" s="1"/>
  <c r="L617" i="56"/>
  <c r="B617" i="56" s="1"/>
  <c r="AW74" i="141"/>
  <c r="AW75" i="141" s="1"/>
  <c r="L616" i="56"/>
  <c r="B616" i="56" s="1"/>
  <c r="O74" i="141"/>
  <c r="O75" i="141" s="1"/>
  <c r="AA74" i="141"/>
  <c r="AA75" i="141" s="1"/>
  <c r="L607" i="56"/>
  <c r="B607" i="56" s="1"/>
  <c r="L577" i="56"/>
  <c r="B577" i="56" s="1"/>
  <c r="R74" i="141"/>
  <c r="R75" i="141" s="1"/>
  <c r="H7" i="58"/>
  <c r="L582" i="56"/>
  <c r="B582" i="56" s="1"/>
  <c r="V74" i="141"/>
  <c r="V75" i="141" s="1"/>
  <c r="L589" i="56"/>
  <c r="B589" i="56" s="1"/>
  <c r="AD74" i="141"/>
  <c r="AD75" i="141" s="1"/>
  <c r="L611" i="56"/>
  <c r="B611" i="56" s="1"/>
  <c r="AZ74" i="141"/>
  <c r="AZ75" i="141" s="1"/>
  <c r="AX74" i="141"/>
  <c r="AX75" i="141" s="1"/>
  <c r="L580" i="56"/>
  <c r="B580" i="56" s="1"/>
  <c r="BB74" i="141"/>
  <c r="BB75" i="141" s="1"/>
  <c r="N74" i="141"/>
  <c r="N75" i="141" s="1"/>
  <c r="L606" i="56"/>
  <c r="B606" i="56" s="1"/>
  <c r="L604" i="56"/>
  <c r="B604" i="56" s="1"/>
  <c r="L603" i="56"/>
  <c r="B603" i="56" s="1"/>
  <c r="L583" i="56"/>
  <c r="B583" i="56" s="1"/>
  <c r="F360" i="56"/>
  <c r="G360" i="56"/>
  <c r="AY74" i="141"/>
  <c r="AY75" i="141" s="1"/>
  <c r="Q74" i="141"/>
  <c r="Q75" i="141" s="1"/>
  <c r="L576" i="56"/>
  <c r="B576" i="56" s="1"/>
  <c r="L602" i="56"/>
  <c r="B602" i="56" s="1"/>
  <c r="M74" i="141"/>
  <c r="M75" i="141" s="1"/>
  <c r="AP74" i="141"/>
  <c r="AP75" i="141" s="1"/>
  <c r="L601" i="56"/>
  <c r="B601" i="56" s="1"/>
  <c r="AL74" i="141"/>
  <c r="AL75" i="141" s="1"/>
  <c r="L618" i="56"/>
  <c r="B618" i="56" s="1"/>
  <c r="AK74" i="141"/>
  <c r="AK75" i="141" s="1"/>
  <c r="L615" i="56"/>
  <c r="B615" i="56" s="1"/>
  <c r="S74" i="141"/>
  <c r="S75" i="141" s="1"/>
  <c r="AO74" i="141"/>
  <c r="AO75" i="141" s="1"/>
  <c r="L600" i="56"/>
  <c r="B600" i="56" s="1"/>
  <c r="L579" i="56"/>
  <c r="B579" i="56" s="1"/>
  <c r="Y74" i="141"/>
  <c r="Y75" i="141" s="1"/>
  <c r="L598" i="56"/>
  <c r="B598" i="56" s="1"/>
  <c r="L575" i="56" l="1"/>
  <c r="B575" i="56" s="1"/>
  <c r="P74" i="141"/>
  <c r="P75" i="141" s="1"/>
  <c r="B411" i="56"/>
  <c r="L435" i="56"/>
  <c r="H15" i="58" s="1"/>
  <c r="L360" i="56"/>
  <c r="L614" i="56"/>
  <c r="B614" i="56" s="1"/>
  <c r="L584" i="56"/>
  <c r="B584" i="56" s="1"/>
  <c r="L593" i="56"/>
  <c r="B593" i="56" s="1"/>
  <c r="L610" i="56"/>
  <c r="B610" i="56" s="1"/>
  <c r="L581" i="56"/>
  <c r="B581" i="56" s="1"/>
  <c r="L574" i="56"/>
  <c r="B574" i="56" s="1"/>
  <c r="L596" i="56"/>
  <c r="B596" i="56" s="1"/>
  <c r="L572" i="56"/>
  <c r="B572" i="56" s="1"/>
  <c r="L608" i="56"/>
  <c r="B608" i="56" s="1"/>
  <c r="L609" i="56"/>
  <c r="B609" i="56" s="1"/>
  <c r="L586" i="56"/>
  <c r="B586" i="56" s="1"/>
  <c r="L578" i="56"/>
  <c r="B578" i="56" s="1"/>
  <c r="L597" i="56"/>
  <c r="B597" i="56" s="1"/>
  <c r="D4" i="141"/>
  <c r="L438" i="56" s="1"/>
  <c r="B438" i="56" s="1"/>
  <c r="L573" i="56"/>
  <c r="B573" i="56" s="1"/>
  <c r="L399" i="56" l="1"/>
  <c r="H13" i="58" s="1"/>
  <c r="B360" i="56"/>
  <c r="L639" i="56"/>
  <c r="H16" i="58" s="1"/>
  <c r="G740" i="56" l="1"/>
  <c r="L740" i="56" s="1"/>
  <c r="B740" i="56" s="1"/>
  <c r="E741" i="56"/>
  <c r="L742" i="56" l="1"/>
  <c r="H19" i="58" s="1"/>
  <c r="H21" i="58" s="1"/>
  <c r="H26" i="58" l="1"/>
  <c r="H24" i="58"/>
  <c r="H25" i="58"/>
  <c r="H27" i="58" l="1"/>
  <c r="H29" i="58" s="1"/>
  <c r="H31" i="58" l="1"/>
  <c r="H4" i="58"/>
  <c r="E3" i="152"/>
  <c r="F3" i="145"/>
  <c r="G3" i="65"/>
  <c r="C5" i="154"/>
  <c r="B5" i="77"/>
  <c r="E3" i="148"/>
  <c r="B4" i="153"/>
  <c r="D4" i="139"/>
  <c r="D5" i="141"/>
  <c r="D4" i="140"/>
  <c r="L2" i="56"/>
  <c r="D5" i="14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<sst xmlns="http://schemas.openxmlformats.org/spreadsheetml/2006/main" count="6969" uniqueCount="2735">
  <si>
    <t>Default</t>
  </si>
  <si>
    <t>Unit</t>
  </si>
  <si>
    <t>D6R Dozer</t>
  </si>
  <si>
    <t>D7R Dozer</t>
  </si>
  <si>
    <t>D8R Dozer</t>
  </si>
  <si>
    <t>D9R Dozer</t>
  </si>
  <si>
    <t>D10T Dozer</t>
  </si>
  <si>
    <t>D11T Dozer</t>
  </si>
  <si>
    <t>N/A</t>
  </si>
  <si>
    <t>Semi-tipper</t>
  </si>
  <si>
    <t>Flatbed Truck</t>
  </si>
  <si>
    <t>Pump Truck / Tanker</t>
  </si>
  <si>
    <t>Quad truck</t>
  </si>
  <si>
    <t>hole</t>
  </si>
  <si>
    <t>Concrete</t>
  </si>
  <si>
    <t>m3</t>
  </si>
  <si>
    <t>kg</t>
  </si>
  <si>
    <t>item</t>
  </si>
  <si>
    <t>Land Amendment</t>
  </si>
  <si>
    <t>t</t>
  </si>
  <si>
    <t>Loader</t>
  </si>
  <si>
    <t>Notes</t>
  </si>
  <si>
    <t>Type</t>
  </si>
  <si>
    <t>Construction Debris Disposal Gate Fee</t>
  </si>
  <si>
    <t>tonne</t>
  </si>
  <si>
    <t>Concrete levy - metro</t>
  </si>
  <si>
    <t>Concrete levy - regional</t>
  </si>
  <si>
    <t>Steel gate fee</t>
  </si>
  <si>
    <t>Steel levy - metro</t>
  </si>
  <si>
    <t>Steel levy - regional</t>
  </si>
  <si>
    <t>Wooden poles</t>
  </si>
  <si>
    <t>Wooden poles levy - metro</t>
  </si>
  <si>
    <t>Wooden poles levy - regional</t>
  </si>
  <si>
    <t>Low Level Petroleum Hydrocarbons in soil</t>
  </si>
  <si>
    <t>Low Level Petroleum Hydrocarbons in soil levy - metro</t>
  </si>
  <si>
    <t>Low Level Petroleum Hydrocarbons in soil levy - regional</t>
  </si>
  <si>
    <t>High Level Petroleum Hydrocarbons in soil</t>
  </si>
  <si>
    <t>High Level Petroleum Hydrocarbons in soil levy - metro</t>
  </si>
  <si>
    <t>High Level Petroleum Hydrocarbons in soil levy - regional</t>
  </si>
  <si>
    <t>Asbestos (ACM)</t>
  </si>
  <si>
    <t>Asbestos (ACM) Levy - metro</t>
  </si>
  <si>
    <t>Asbestos (ACM) Levy - regional</t>
  </si>
  <si>
    <t>Asbestos in soil</t>
  </si>
  <si>
    <t>Asbestos in soil levy - metro</t>
  </si>
  <si>
    <t>Asbestos in soil levy - regional</t>
  </si>
  <si>
    <t>Low level inorganics in soil</t>
  </si>
  <si>
    <t>Low level inorganics in soil levy - metro</t>
  </si>
  <si>
    <t>Low level inorganics in soil levy - regional</t>
  </si>
  <si>
    <t>High level inorganics in soil</t>
  </si>
  <si>
    <t>High level inorganics in soil levy - metro</t>
  </si>
  <si>
    <t>High level inorganics in soil levy - regional</t>
  </si>
  <si>
    <t>General Waste</t>
  </si>
  <si>
    <t>General Waste levy - metro</t>
  </si>
  <si>
    <t>General Waste levy - regional</t>
  </si>
  <si>
    <t>Construction / building waste</t>
  </si>
  <si>
    <t>Construction / building waste levy - metro</t>
  </si>
  <si>
    <t>Construction / building waste levy - regional</t>
  </si>
  <si>
    <t>Regulated waste (e.g. tires and belts)</t>
  </si>
  <si>
    <t>Regulated waste (e.g. tires and belts) levy - metro</t>
  </si>
  <si>
    <t>Regulated waste (e.g. tires and belts) levy - regional</t>
  </si>
  <si>
    <t>Oil / condensate disposal Gate Fee</t>
  </si>
  <si>
    <t>Oily water / ablution water disposal Gate Fee</t>
  </si>
  <si>
    <t>Waste from pigging - gate fee</t>
  </si>
  <si>
    <t>Drilling Fluids Treatment and Disposal Gate Fee</t>
  </si>
  <si>
    <t>Salt disposal - gate fee</t>
  </si>
  <si>
    <t>Salt levy</t>
  </si>
  <si>
    <t>Sludge</t>
  </si>
  <si>
    <t>Sludge levy</t>
  </si>
  <si>
    <t>Load, haul and dump bitumen, stabilised materials, and concrete (with small fleet) for disposal within onsite void</t>
  </si>
  <si>
    <t>Excavate, load, haul, dump and spread water storage sediment and silt (with small fleet)</t>
  </si>
  <si>
    <t>Pipelines</t>
  </si>
  <si>
    <t>Camps</t>
  </si>
  <si>
    <t>Buildings</t>
  </si>
  <si>
    <t>Pumps and Controls</t>
  </si>
  <si>
    <t>Dams</t>
  </si>
  <si>
    <t>Seismic</t>
  </si>
  <si>
    <t>Wells</t>
  </si>
  <si>
    <t>Top</t>
  </si>
  <si>
    <t>per LCM</t>
  </si>
  <si>
    <t>m</t>
  </si>
  <si>
    <t>#</t>
  </si>
  <si>
    <t>$/ha</t>
  </si>
  <si>
    <t>km</t>
  </si>
  <si>
    <t>Total Cost</t>
  </si>
  <si>
    <t>Rate</t>
  </si>
  <si>
    <t>km/h</t>
  </si>
  <si>
    <t>m2/h</t>
  </si>
  <si>
    <t>Material</t>
  </si>
  <si>
    <t>m2</t>
  </si>
  <si>
    <t>m3/h</t>
  </si>
  <si>
    <t>mm</t>
  </si>
  <si>
    <t>Medium Fleet</t>
  </si>
  <si>
    <t>Large Fleet</t>
  </si>
  <si>
    <t>$/kL</t>
  </si>
  <si>
    <t>Fleet</t>
  </si>
  <si>
    <t>Excavator</t>
  </si>
  <si>
    <t>t/h</t>
  </si>
  <si>
    <t>Width (m)</t>
  </si>
  <si>
    <t>Rock</t>
  </si>
  <si>
    <t>Arid</t>
  </si>
  <si>
    <t>Ha</t>
  </si>
  <si>
    <t>Water supply bore hole plugging</t>
  </si>
  <si>
    <t>Monitoring bore hole plugging</t>
  </si>
  <si>
    <t>Water supply bore hole backfilling with cuttings</t>
  </si>
  <si>
    <t>Monitoring bore hole backfilling with cuttings</t>
  </si>
  <si>
    <t>Water supply bore hole grounting</t>
  </si>
  <si>
    <t>Monitoring bore hole grouting</t>
  </si>
  <si>
    <t>Water reinjection bore hole grouting</t>
  </si>
  <si>
    <t>Summary</t>
  </si>
  <si>
    <t>Totals</t>
  </si>
  <si>
    <t>Small temporary camp (&lt;= 50 persons)</t>
  </si>
  <si>
    <t>Larger temporary camp (&gt; 50 persons)</t>
  </si>
  <si>
    <t>Small permament camp (&lt;= 50 persons)</t>
  </si>
  <si>
    <t>Larger permanent camp (&gt; 50 persons)</t>
  </si>
  <si>
    <t>Salt</t>
  </si>
  <si>
    <t>Temporary</t>
  </si>
  <si>
    <t>Permanent</t>
  </si>
  <si>
    <t>t/m2</t>
  </si>
  <si>
    <t>Rip</t>
  </si>
  <si>
    <t>ha</t>
  </si>
  <si>
    <t>`</t>
  </si>
  <si>
    <t>Select</t>
  </si>
  <si>
    <t>Aboveground</t>
  </si>
  <si>
    <t>Buried</t>
  </si>
  <si>
    <t>Pasture</t>
  </si>
  <si>
    <t>Rehab Status</t>
  </si>
  <si>
    <t>L</t>
  </si>
  <si>
    <t>Landfill</t>
  </si>
  <si>
    <t>Laydown</t>
  </si>
  <si>
    <t>Borrow Pit</t>
  </si>
  <si>
    <t>NR</t>
  </si>
  <si>
    <t>Track</t>
  </si>
  <si>
    <t>Vegetation</t>
  </si>
  <si>
    <t>Native</t>
  </si>
  <si>
    <t>Width / Diameter</t>
  </si>
  <si>
    <t>Area</t>
  </si>
  <si>
    <t>Earthen</t>
  </si>
  <si>
    <t>&gt;1500 m to &lt;=2000 m</t>
  </si>
  <si>
    <t>&gt;2000 m to &lt;=2500 m</t>
  </si>
  <si>
    <t>&gt;200 m to &lt;=500 m</t>
  </si>
  <si>
    <t>Growth media thickness</t>
  </si>
  <si>
    <t>Seed</t>
  </si>
  <si>
    <t>Total</t>
  </si>
  <si>
    <t>Details</t>
  </si>
  <si>
    <t>Size</t>
  </si>
  <si>
    <t>Small</t>
  </si>
  <si>
    <t>Large</t>
  </si>
  <si>
    <t>Steel</t>
  </si>
  <si>
    <t>None</t>
  </si>
  <si>
    <t>Number</t>
  </si>
  <si>
    <t>kg/m</t>
  </si>
  <si>
    <t>Asphalt</t>
  </si>
  <si>
    <t>Gravel</t>
  </si>
  <si>
    <t>Tanks</t>
  </si>
  <si>
    <t>Vertical, Steel, Closed top, Steel, Single skin, Not lined, 200 kL</t>
  </si>
  <si>
    <t>kg / m</t>
  </si>
  <si>
    <t>Overhead powerlines (steel towers)</t>
  </si>
  <si>
    <t>Overhead powerlines (wooden poles)</t>
  </si>
  <si>
    <t>Overhead powerlines (concrete poles)</t>
  </si>
  <si>
    <t>lump</t>
  </si>
  <si>
    <t>Capacity</t>
  </si>
  <si>
    <t>ML</t>
  </si>
  <si>
    <t>kL</t>
  </si>
  <si>
    <t>Vertical</t>
  </si>
  <si>
    <t>Concrete Ring</t>
  </si>
  <si>
    <t>Horizontal</t>
  </si>
  <si>
    <t>Panel</t>
  </si>
  <si>
    <t>Rainwater</t>
  </si>
  <si>
    <t>Plastic</t>
  </si>
  <si>
    <t>Open top</t>
  </si>
  <si>
    <t>Closed top</t>
  </si>
  <si>
    <t>Base</t>
  </si>
  <si>
    <t>Earth</t>
  </si>
  <si>
    <t>Skid</t>
  </si>
  <si>
    <t>Liner</t>
  </si>
  <si>
    <t>Lined</t>
  </si>
  <si>
    <t>Not lined</t>
  </si>
  <si>
    <t>Single skin</t>
  </si>
  <si>
    <t>t/tank</t>
  </si>
  <si>
    <t>Sediment thickness</t>
  </si>
  <si>
    <t>Steel plate thickness</t>
  </si>
  <si>
    <t>X</t>
  </si>
  <si>
    <t>Item</t>
  </si>
  <si>
    <t>Unlined Dam &gt;1 and &lt;=3.5 ML</t>
  </si>
  <si>
    <t>Unlined Dam &gt;3.5 and &lt;=7.5 ML</t>
  </si>
  <si>
    <t>Unlined Dam &gt;7.5 and &lt;=10 ML</t>
  </si>
  <si>
    <t>Unlined Dam &gt;10 and &lt;=20 ML</t>
  </si>
  <si>
    <t>0 to &lt;= 50 ML</t>
  </si>
  <si>
    <t>&gt;50 ML to &lt;=200 ML</t>
  </si>
  <si>
    <t>&gt;200 ML to &lt;=1000 ML</t>
  </si>
  <si>
    <t>&gt;1000 to &lt;=5000 ML</t>
  </si>
  <si>
    <t>Contaminated</t>
  </si>
  <si>
    <t>Clean</t>
  </si>
  <si>
    <t>Unlined</t>
  </si>
  <si>
    <t>Surface</t>
  </si>
  <si>
    <t>Sediment Removal</t>
  </si>
  <si>
    <t>&gt;1000 m to &lt;=1500 m</t>
  </si>
  <si>
    <t>Small Fleet 2</t>
  </si>
  <si>
    <t>Subtotal</t>
  </si>
  <si>
    <t>Length (m)</t>
  </si>
  <si>
    <t>Diameter (m)</t>
  </si>
  <si>
    <t>User Area (ha)</t>
  </si>
  <si>
    <t>Calculated Area (ha)</t>
  </si>
  <si>
    <t>Area for calculations (ha)</t>
  </si>
  <si>
    <t>Water pH Adjustment</t>
  </si>
  <si>
    <t>Water Salt Removal</t>
  </si>
  <si>
    <t>Water Organics Removal</t>
  </si>
  <si>
    <t>Evaporate Water in Pond with Natural Solar</t>
  </si>
  <si>
    <t>Evaporate Water with Evaporators</t>
  </si>
  <si>
    <t>Mobilisation of portable reverse osmosis unit to ponds (not connected to existing ROP)</t>
  </si>
  <si>
    <t>Water Pumping</t>
  </si>
  <si>
    <t>Water Pumping 12" Pump</t>
  </si>
  <si>
    <t>ML/day</t>
  </si>
  <si>
    <t>kWh</t>
  </si>
  <si>
    <t>$/ML</t>
  </si>
  <si>
    <t>No Amend</t>
  </si>
  <si>
    <t>Gypsum Normal Soil</t>
  </si>
  <si>
    <t>Gypsum Sodic Soil</t>
  </si>
  <si>
    <t>Gypsum Recycled Normal Soil</t>
  </si>
  <si>
    <t>Gypsum Recycled Sodic Soil</t>
  </si>
  <si>
    <t>Lime</t>
  </si>
  <si>
    <t>Biosolids, MSW, Manure</t>
  </si>
  <si>
    <t>Hay Mulch / Sugar Cane</t>
  </si>
  <si>
    <t>Fertiliser pasture</t>
  </si>
  <si>
    <t>Fertiliser trees</t>
  </si>
  <si>
    <t>Planting mature trees (&gt;15 cm)</t>
  </si>
  <si>
    <t>Planting tube stock (&lt;=15 cm)</t>
  </si>
  <si>
    <t>Hydro-seeding with mulch and bitumen tack</t>
  </si>
  <si>
    <t>Gypsum</t>
  </si>
  <si>
    <t>Gypsum Recycled</t>
  </si>
  <si>
    <t>Processing Plants</t>
  </si>
  <si>
    <t>Conventional Gas</t>
  </si>
  <si>
    <t>WTP</t>
  </si>
  <si>
    <t>TJ/day</t>
  </si>
  <si>
    <t>Purging</t>
  </si>
  <si>
    <t>Stand-alone gas compressor</t>
  </si>
  <si>
    <t>Gas Processing Plant</t>
  </si>
  <si>
    <t>Water Treatment Plant</t>
  </si>
  <si>
    <t>LNG Plant</t>
  </si>
  <si>
    <t>Conventional Oil</t>
  </si>
  <si>
    <t>LPG Plant</t>
  </si>
  <si>
    <t>Skids</t>
  </si>
  <si>
    <t>Gas</t>
  </si>
  <si>
    <t>Water</t>
  </si>
  <si>
    <t>Power Generation</t>
  </si>
  <si>
    <t>Power generation - gas</t>
  </si>
  <si>
    <t>kL/day</t>
  </si>
  <si>
    <t>Unit Rate</t>
  </si>
  <si>
    <t>Mass</t>
  </si>
  <si>
    <t>$/item</t>
  </si>
  <si>
    <t>Length</t>
  </si>
  <si>
    <t>Height</t>
  </si>
  <si>
    <t>hours</t>
  </si>
  <si>
    <t>Mass of Incidental waste to take off island (t)</t>
  </si>
  <si>
    <t>Security fencing (m)</t>
  </si>
  <si>
    <t>LNG Tanks</t>
  </si>
  <si>
    <t>Site electrical and tray</t>
  </si>
  <si>
    <t>skid</t>
  </si>
  <si>
    <t>Materials</t>
  </si>
  <si>
    <t>Portable buildings</t>
  </si>
  <si>
    <t>bldg</t>
  </si>
  <si>
    <t>tank</t>
  </si>
  <si>
    <t>Coreholes</t>
  </si>
  <si>
    <t>Lateral Insertion</t>
  </si>
  <si>
    <t>Single</t>
  </si>
  <si>
    <t>&lt;= 4 wells</t>
  </si>
  <si>
    <t>&gt; 4 wells</t>
  </si>
  <si>
    <t>Plugged and abandoned</t>
  </si>
  <si>
    <t>Suspended</t>
  </si>
  <si>
    <t>Shut-in</t>
  </si>
  <si>
    <t>Appraisal / development</t>
  </si>
  <si>
    <t>Operation / Production</t>
  </si>
  <si>
    <t>Corehole</t>
  </si>
  <si>
    <t>&lt;=200 m</t>
  </si>
  <si>
    <t>Qty</t>
  </si>
  <si>
    <t>Pipeline HUB - small</t>
  </si>
  <si>
    <t>Pipeline HUB - large</t>
  </si>
  <si>
    <t>Main-line valve</t>
  </si>
  <si>
    <t>Metering Station</t>
  </si>
  <si>
    <t>Pig Launcher / Receiver</t>
  </si>
  <si>
    <t>Portable Buildings</t>
  </si>
  <si>
    <t>Activity</t>
  </si>
  <si>
    <t>per dam</t>
  </si>
  <si>
    <t>Multiplier for incidental waste</t>
  </si>
  <si>
    <t>Liner specific mass</t>
  </si>
  <si>
    <t>Width of concrete ring</t>
  </si>
  <si>
    <t>Distance between tensioning poles</t>
  </si>
  <si>
    <t>Length of concrete panels</t>
  </si>
  <si>
    <t>Mass of steel supports</t>
  </si>
  <si>
    <t>Mass of tensioning posts</t>
  </si>
  <si>
    <t>Mass of reinforcing cable (12.7 mm)</t>
  </si>
  <si>
    <t>Mass of capture cable (15.2 mm)</t>
  </si>
  <si>
    <t>Incidental waste</t>
  </si>
  <si>
    <t>Substation 33 / 11 kV</t>
  </si>
  <si>
    <t xml:space="preserve">Substation 66 / 11 kV </t>
  </si>
  <si>
    <t>Substation 132 / 33 kV</t>
  </si>
  <si>
    <t>One Steel catalogue</t>
  </si>
  <si>
    <t>Pipe specific mass (300 mm diameter, STD)</t>
  </si>
  <si>
    <t>Pipe specific mass (450 mm diameter, STD)</t>
  </si>
  <si>
    <t>Pipe specific mass (600 mm diameter, STD)</t>
  </si>
  <si>
    <t>Pipe / electrical tray specific mass</t>
  </si>
  <si>
    <t>http://www.engineeringcivil.com/weight-calculator.html/comment-page-8</t>
  </si>
  <si>
    <t>Valve and fittings multiplier for mass</t>
  </si>
  <si>
    <t>Electrical wiring specific mass (AWG 4/0, 200 amp)</t>
  </si>
  <si>
    <t>t/km</t>
  </si>
  <si>
    <t>Contents</t>
  </si>
  <si>
    <t>TERMS AND CONDITIONS OF USE</t>
  </si>
  <si>
    <t>ESR/2015/1824</t>
  </si>
  <si>
    <t>Version:</t>
  </si>
  <si>
    <t>Effective Date:</t>
  </si>
  <si>
    <t>Petroleum and Gas Estimated Rehabilitation Cost Calculator</t>
  </si>
  <si>
    <t>CONTENTS</t>
  </si>
  <si>
    <t>Click on the links below</t>
  </si>
  <si>
    <t>REGISTRATION</t>
  </si>
  <si>
    <t>INFORMATION</t>
  </si>
  <si>
    <t>SUMMARY</t>
  </si>
  <si>
    <t>MAIN</t>
  </si>
  <si>
    <t>WASTE REGISTER</t>
  </si>
  <si>
    <t>GENERAL LAND REHABILITATION</t>
  </si>
  <si>
    <t>WELLS</t>
  </si>
  <si>
    <t>SEISMIC AND INFRASTRUCTURE</t>
  </si>
  <si>
    <t>PIPELINES (LAND)</t>
  </si>
  <si>
    <t>PROCESS FACILITIES</t>
  </si>
  <si>
    <t>PROCESS FACILITIES USER BUILD</t>
  </si>
  <si>
    <t>LNG FACILITIES</t>
  </si>
  <si>
    <t>WATER FACILITIES USER BUILD</t>
  </si>
  <si>
    <t>WATER STORAGE</t>
  </si>
  <si>
    <t>WATER STORAGE USER BUILD</t>
  </si>
  <si>
    <t>INVESTIGATION CONTAMINATION</t>
  </si>
  <si>
    <t>ASSUMPTIONS</t>
  </si>
  <si>
    <t>SUBRATES</t>
  </si>
  <si>
    <t>LISTS</t>
  </si>
  <si>
    <t>EA= Environmental Authority</t>
  </si>
  <si>
    <t>ERC = Estimated Rehabilitation Cost</t>
  </si>
  <si>
    <t>Colour Code Key</t>
  </si>
  <si>
    <t>User Input Cells</t>
  </si>
  <si>
    <t>User Input - Alternate Rates / justification</t>
  </si>
  <si>
    <t>Alternate Rates entered by User</t>
  </si>
  <si>
    <t>Locked cell - Default Rates or Sum from Input Sheets</t>
  </si>
  <si>
    <t>Locked cells - blanks</t>
  </si>
  <si>
    <t>Locked cell - calculations or text</t>
  </si>
  <si>
    <t>* denotes pop up message is available in cell</t>
  </si>
  <si>
    <t>Environmental Authority Ref:</t>
  </si>
  <si>
    <t>EA Holder:</t>
  </si>
  <si>
    <t>Tenure Numbers:</t>
  </si>
  <si>
    <t>Site Name:</t>
  </si>
  <si>
    <t>Last ERC Decision Date:</t>
  </si>
  <si>
    <t>Current ERC Amount:</t>
  </si>
  <si>
    <t>Site Contact:</t>
  </si>
  <si>
    <t>Position:</t>
  </si>
  <si>
    <t>Site Address:</t>
  </si>
  <si>
    <t>Phone:</t>
  </si>
  <si>
    <t>Email:</t>
  </si>
  <si>
    <t>Waste Levy (select)</t>
  </si>
  <si>
    <t>Select from below</t>
  </si>
  <si>
    <t>Further user comment on waste levy application:</t>
  </si>
  <si>
    <t xml:space="preserve">
Enter a justification here if the site is in a waste levy zone but the waste levy is not applied.  (Overwrite this text).
</t>
  </si>
  <si>
    <t>Name of Assessor (company):</t>
  </si>
  <si>
    <t>Name of Site Manager (company):</t>
  </si>
  <si>
    <t>Title:</t>
  </si>
  <si>
    <t>Date:</t>
  </si>
  <si>
    <t>Below this line for the Department's use only</t>
  </si>
  <si>
    <t>Name of Department Reviewer:</t>
  </si>
  <si>
    <t>Name of Department Manager:</t>
  </si>
  <si>
    <t>INFORMATION SHEET</t>
  </si>
  <si>
    <t>Sheet</t>
  </si>
  <si>
    <t>Use</t>
  </si>
  <si>
    <t>User Notes</t>
  </si>
  <si>
    <t>General</t>
  </si>
  <si>
    <t xml:space="preserve">
Enter quantities in the green cells. If alternate rates are justified enter to the yellow cells and provide justification in the Table of Values. 
Quantities only need to be entered in one table (e.g. if using rolled-up rates for roads, the same road quantities do not need to be entered to the User Quantities table.  If a quantity based table. e.g. number of dams is used, the user does not have to enter the area in the area-based table).
</t>
  </si>
  <si>
    <t xml:space="preserve">
Numerical assumptions are shown in the Assumptions sheet.
The rates generally include activities reasonably anticipated to be required to rehabilitate items. Specifically, decommissioning, demolition, removal, disposal / storage, rehabilitation of land ("grade and seed") and land investigations where required are included.
User tables allow entry of site-specific quantities and adding on of non-standard items such as long distance haul of growth media and amendment to soil. In general, the intent is the default rates will cover most scenarios and the User build-up should only be necessary if there is a clear requirement.  For example, it is known that highly sodic soil will require amendment with a higher gypsum application rate or growth media will require carting from more than 10 km.
Rates in arid environments do not include growth media and seeding. Arid environments are desert whereby vegetation is absent (e.g. the Cooper Basin in South West Queensland).
Click in title cells with asterisk for tips on specific use.
When entering text (e.g. in User Notes to the right), it is recommended to add a blank row at the beginning and end of the text to ensure text displays correctly. Use Alt Enter to add blank rows.
</t>
  </si>
  <si>
    <t xml:space="preserve">
The User can navigate through the calculator using the quick links. Includes the legend (repeated to the right) illustrating the colour coding used throughout the calculator.
</t>
  </si>
  <si>
    <t xml:space="preserve">
Enter the details for the site / project and select whether the Waste Levy applies using the dropdown menu. If the User selects one of the options indicating the Waste Levy does not apply, they must enter a justification in the adjacent cell.
</t>
  </si>
  <si>
    <t xml:space="preserve">The most common reason for the Waste Levy not applying is that the site is not in a Waste Levy zone.
</t>
  </si>
  <si>
    <t xml:space="preserve">Information only
</t>
  </si>
  <si>
    <t xml:space="preserve">
Shows the numerical defaults used in the background calculations such as machine productivity rates, density of materials to convert from volume to mass, thickness of surface layers, and soil amendment application rates. The Assumptions with the Subrates and User build-up tables in the Input sheets give the User a reasonable indication of the scope behind each Default Rate.
</t>
  </si>
  <si>
    <t xml:space="preserve">
Information only, no user inputs are required. The User cannot change these rates.
</t>
  </si>
  <si>
    <t xml:space="preserve">
Contains the rates used to build the TOV values. Includes the unit prices for earthmoving (e.g. cost per cubic metre to push soil 20 m using a D8 dozer), land amendments purchase price (e.g. gypsum) and gate fees and levy for waste.
</t>
  </si>
  <si>
    <t xml:space="preserve">Information only, no user inputs are required.  </t>
  </si>
  <si>
    <t xml:space="preserve">
This is a functional sheet used to make other sheets work.
</t>
  </si>
  <si>
    <t>INFORMATION AND USER NOTES</t>
  </si>
  <si>
    <t>The User can enter notes specific to each Sheet in the User Notes section.</t>
  </si>
  <si>
    <t xml:space="preserve">
This sheet contains information about each Input Sheet, the other sheets (e.g. Waste Register) and specific elements.
</t>
  </si>
  <si>
    <t xml:space="preserve">Summarises the costs per domain for all inputs. The User can changed the project management and maintenance and monitoring multipliers in this Sheet. See notes to the right for conditions under which that can occur.
</t>
  </si>
  <si>
    <t xml:space="preserve">
Adds the multipliers of project management, maintenance and monitoring, and contingency. The project management costs are to cover the State's management of a project where a default has occurred. Maintenance and monitoring covers such activities post rehabilitation. Activities include inspection to assess rehabilitation performance and minor repairs. The project management and maintenance and monitoring multipliers can be changed by a User but comprehensive justification must be provided in the boxes below the summary and support information that is likely to include evidence of a third-party calculation. The contingency is to cover reasonable unknowns that can't be quantified as the time of the estimate. The contingency cannot be changed.
</t>
  </si>
  <si>
    <t xml:space="preserve">
Information only, no user inputs are required. 
</t>
  </si>
  <si>
    <t xml:space="preserve">
This sheet reports the quantities of waste that are subject to a waste levy. The User selects whether the waste levy applies in Registration. The Waste Register multiplies the user-entered (in the Input Sheets) quantities of each element (e.g. camp) by the specific mass of waste for that element. For example X tonnes of concrete per camp is multiplied by the number of camps to get the total concrete for that line to which the waste levy applies. The total waste (e.g. mass of concrete) is reported to the Investigation / Contamination sheet where it is multiplied by the appropriate levy to get the total levy amount.
</t>
  </si>
  <si>
    <t xml:space="preserve">Lists the Default rates used in the Calculator. If Alternate rates are added in the Input Sheets, an alert will be reported in this sheet and the User must provide a justification.
Add
</t>
  </si>
  <si>
    <t xml:space="preserve">
Note: the calculations and rolled-up (default) rates are designed as far as practical so that the User does not have to enter quantities more than once for the same element. For example, if a rolled camp rate is selected the assumption is all reasonably elements associated with a camp are included in that rate.
</t>
  </si>
  <si>
    <t>General Land Rehabilitation</t>
  </si>
  <si>
    <t xml:space="preserve">
Optional sheet that allows listing of areas requiring general rehabilitation that are not covered in Main or other Input Sheets, any drainage and diversions, miscellaneous soil and land treatment, and listing of bores.</t>
  </si>
  <si>
    <t xml:space="preserve">
The Quantities in this sheet are reported to the Main sheet in Section 11. General Land Rehabilitation.
</t>
  </si>
  <si>
    <t xml:space="preserve">
Optional sheet that allows listing of each well or well groups. The User selects the type of well from the dropdown menus in the "Type" column, enters the number of wells in that category in the "Number" column, and selects the land type in the "Land Type" column.
</t>
  </si>
  <si>
    <t xml:space="preserve">
This sheet allows the area of well disturbances to be entered creating consistency with the spatial data. The rates for the well types are not the same as in the Main sheet as the decommissioning / removal component is separated from the land rehabilitation component. The number of wells in each category is multiplied by the corresponding rate to get the total cost for each category. The land rehabilitation costs are summed separately. These costs are summed and the total sent to the Main sheet for inclusion in the overall ERC total.
</t>
  </si>
  <si>
    <t>Infrastructure</t>
  </si>
  <si>
    <t xml:space="preserve">
Optional sheet that allows listing of seismic easement lengths or areas, tracks / roads either separately or by group and camps.  In each table, the User selects the land type from the dropdown. Additional selections from dropdowns are available for the surface cover type in the tracks and roads table and the size (by person and temporary or permanent) in the camps table. Enter the total for all entries in the category / row. For example, if a temporary camp &lt; 20 persons is selected and 10 camps are entered for that row, the area entered must be the total for all 10 camps.
</t>
  </si>
  <si>
    <t>This sheet allows disturbances to be entered by area creating consistency with spatial data.
The rates for the seismic and tracks and roads are the same as the Defaults in the Table of Values. The number each in category is multiplied by the corresponding rate to get the total cost for each category. These costs are summed and the total sent to the Main sheet for inclusion in the overall ERC total. For camps, the costs for decommissioning and land rehabilitation are separate so that the rates shown are different to the Table of Values. The camp rates with land rehabilitation are shown in the Camps Subrates table in the Subrates sheet.</t>
  </si>
  <si>
    <t>Pipelines Land</t>
  </si>
  <si>
    <t xml:space="preserve">
Optional sheet that allows listing of pipeline easements by length or area. The User selects whether the pipe is above or below ground and the type of fluid within the pipe. These selections are for information only in this sheet so that Users and Reviewers can correlate items such as flushing which is entered separately in the Main sheet. </t>
  </si>
  <si>
    <t xml:space="preserve">
This sheet allows disturbances to be entered by area or calculated from length and width entries creating consistency with spatial data. The number in each category is multiplied by the corresponding rate to get the total cost for each category. These costs are summed and the total sent to the Main sheet for inclusion in the overall ERC total. The Rehab Status and Land Type determine which rate is used. 
</t>
  </si>
  <si>
    <t>Water Storage</t>
  </si>
  <si>
    <t xml:space="preserve">
Optional sheet that allows listing of water storage by area of disturbance. The User must select whether the pond contains contaminated sediment or not (clean), whether the pond is lined or unlined, the size category, and the land type.
The area entry is the total crest area of the pond / dam or group of ponds / dams in the row.
</t>
  </si>
  <si>
    <t xml:space="preserve">
This sheet allows entry of the disturbance area of the pond / dam or total area of a group of dams. The number column is for information only and does not multiply by the area - the total area of all dams in the row must be entered. The User selections described in Use determine the default rate applied to the category. The Default rates are per unit area and this is multiplied by the default rate for the category. These costs are summed and the total sent to the Main sheet for inclusion in the overall ERC total. The Regulated / Non Regulated selection is information for the Department reviewer and does not influence cost.
Contaminated and Clean are distinguished in the Calculator by the thickness of sediment to be managed with Contaminated assuming more sediment to manage. Examples of Contaminated are oily / water and interceptor pond. Clean ponds may be Evaporation ponds.
</t>
  </si>
  <si>
    <t>Water Storage User Build</t>
  </si>
  <si>
    <t xml:space="preserve">
Optional sheet that allows the User more input into the build up of the pond / dams. The User must:
- enter the number of ponds / dams in the category (row)
- enter the area (crest) disturbed by the pond / dam
- select whether the pond / dam is lined or unlined, 
- enter the land type
- enter the # of structures in the category (row)
- enter the dimensions of the pond / dam banks / walls (height above ground surface, width across the top of the berm (walkway / driveway), and slope of the walls (typically 1 in 2 or less for small dams and  1 in 3 or 1 in 4 for large dams). 
- enter the number of dams that will share the one-off investigation costs.
The User can enter a specific:
- liner area or accept the default calculation based on the entered crest area.
- volume of soil in the bunds / berms / walls or leave this column blank and accept the calculation based on entries made in the previous columns.
- sediment thickness or accept the default
- growth media thickness or accept the default
- area for land investigation or accept the crest area as the default
The User can select:
- the load and haul distance and fleet size for sediment removal
- the push distance and dozer size for wall push in
- the load and haul distance and fleet size for growth media application
</t>
  </si>
  <si>
    <t xml:space="preserve">
The cost calculation is for one pond / dam based on the User entries / selections. This cost is multiplied by the entry in # of structures in the category to get the total cost for the row. Consequently, the # of structures must be at least 1.
For lined ponds / dams, if the User enters a liner area less than the crest area, an alert is raised and the User must explain why the liner area is less than the footprint.
If the User enters specific values less than the defaults they should provide justification. The User Notes column to the right can be used.
The # Dams to Share Upfront Cost determines how many dams / ponds are covered by the one mobilisation. For example if there are three dams adjacent to area it is reasonable to assume the structures would be investigated during the same visit to site. In this case if the # of dams / ponds entered in the row was 1, the User should enter 3 in the # Dams to Share Upfront Cost cell. If the # of dams / ponds entered in the row was 3 (3 dams of the same construction) the User should enter 3 in the # Dams to Share Upfront Cost cell. In the first case the cost for the one-off land investigation cost would be a third of the unit cost rate. In the second case, the cost for the one-off land investigation cost would be a whole (1) of the unit cost rate.
The load and haul and fleet size selections are up to the User and guidance is provided in the User Guide.
</t>
  </si>
  <si>
    <t>Water Facilities User Build</t>
  </si>
  <si>
    <t xml:space="preserve">
Optional sheet that allows the User to build rates for specific water facilities such as Water Transfer Stations. The User enters quantities against the applicable rows. Entries are not expected in every row and the User does not need to justify the absence of an entry unless it is clearly an error (e.g. an aerial shows five large tanks and the User has only entered 1).
</t>
  </si>
  <si>
    <t xml:space="preserve">
Such facilities are generally comprised of tanks, pipes and pumps.
Land Investigations are typically not required for such facilities. If one is required the User can enter a User entered row or enter to the Land Investigation table in the Investigation Contamination sheet or enter to the rows in Main sheet.
</t>
  </si>
  <si>
    <t>Process Facilities</t>
  </si>
  <si>
    <t xml:space="preserve">
Optional sheet that allows listing of process facilities by area of disturbance. The User must select the category of facility in each table and the number of facilities in the category and then the land area disturbed by the facilities. The area entry is the total disturbance area for the facilities in the category / row.
</t>
  </si>
  <si>
    <t xml:space="preserve">
This sheet allows the area of disturbance for the process facilities to be entered creating consistency with the spatial data. The rates for the facilities are not the same as in the Main sheet as the decommissioning / removal component is separated from the land rehabilitation component. The number of facilities in each category is multiplied by the corresponding rate to get the total cost for each category. The land rehabilitation costs are summed separately. These costs are summed and the total sent to the Main sheet for inclusion in the overall ERC total.
</t>
  </si>
  <si>
    <t>Process Facilities User Build</t>
  </si>
  <si>
    <t xml:space="preserve">
Optional sheet that allows the User to build rates for specific process facilities such as oil storage facilities. The User enters quantities against the applicable rows. Entries are not expected in every row and the User does not need to justify the absence of an entry unless it is clearly an error (e.g. an aerial shows five large tanks and the User has only entered 1). The User must select the type of facility from the dropdown at the top of the sheet as this determines the total cost reported to Main.
</t>
  </si>
  <si>
    <t xml:space="preserve">
The quantities entered by the User are multiplied by the default rate and summed. The sums for each type of facility are reported to the Main sheet. Such facilities are generally comprised of tanks, pipes and pumps.
Land Investigations are typically required for such facilities.
</t>
  </si>
  <si>
    <t>LNG Facilities User Build</t>
  </si>
  <si>
    <t xml:space="preserve">
Optional sheet that allows the User to build a rate for a specific LNG facility (Curtis Island). The User enters quantities against the applicable rows. Entries are not expected in every row and the User does not need to justify the absence of an entry unless it is clearly an error (e.g. an aerial shows five large tanks and the User has only entered 1).</t>
  </si>
  <si>
    <t>Investigation Contamination</t>
  </si>
  <si>
    <t xml:space="preserve">
Optional sheet that allows input of areas for land investigation and mass of contaminated soil or asbestos not covered in other domains.
</t>
  </si>
  <si>
    <t xml:space="preserve">Where land investigations and disposal of contamination are required, they are included in the Default rates. It is not required to enter additional contamination mass or land investigations for these in the Investigation Contamination sheet.
</t>
  </si>
  <si>
    <t>Terms-con</t>
  </si>
  <si>
    <t xml:space="preserve">
User should read the terms and conditions prior to populating the calculator.
</t>
  </si>
  <si>
    <t xml:space="preserve">Total ERC </t>
  </si>
  <si>
    <t>Quantity</t>
  </si>
  <si>
    <t>Total before Project Overheads and Contingency</t>
  </si>
  <si>
    <t>Project Overheads and Contingency</t>
  </si>
  <si>
    <t>User Entry*</t>
  </si>
  <si>
    <t>Project Management</t>
  </si>
  <si>
    <t>Environmental Maintenance and Monitoring</t>
  </si>
  <si>
    <t>Contingency</t>
  </si>
  <si>
    <t>Subtotal of Project Overheads and Contingency</t>
  </si>
  <si>
    <t>Total Estimated Rehabilitation Cost for the Site (excluding GST)</t>
  </si>
  <si>
    <t>Difference from Current ERC amount</t>
  </si>
  <si>
    <t>Alternate Project Management Rate Justification:</t>
  </si>
  <si>
    <t xml:space="preserve">
Enter justification if alternate project management rate used (overwrite this text).  Recommend adding a blank row at the beginning and end of the text so it displays correctly. (Alt Enter).
</t>
  </si>
  <si>
    <t>Alternate Monitoring and Maintenance Rate Justification:</t>
  </si>
  <si>
    <t xml:space="preserve">
Enter justification if alternate maintenance and monitoring rate used (overwrite this text). Recommend adding a blank row at the beginning and end of the text so it displays correctly. (Alt Enter).
</t>
  </si>
  <si>
    <t>Filter</t>
  </si>
  <si>
    <t>Total ERC amount</t>
  </si>
  <si>
    <t>Map ID</t>
  </si>
  <si>
    <t>Activity / Description</t>
  </si>
  <si>
    <t>User Enter</t>
  </si>
  <si>
    <t xml:space="preserve">Input Sheet / Unit </t>
  </si>
  <si>
    <t>Default Unit Rate</t>
  </si>
  <si>
    <t xml:space="preserve"> Alternative Unit Rate</t>
  </si>
  <si>
    <t>User Comments / Item Names</t>
  </si>
  <si>
    <t>Rationale for Alternate Rate</t>
  </si>
  <si>
    <t>Use of Default Rate</t>
  </si>
  <si>
    <t>Scope of Default Rate</t>
  </si>
  <si>
    <t xml:space="preserve">1. Exploration </t>
  </si>
  <si>
    <t xml:space="preserve">Seismic (Infrastructure Input Sheet) </t>
  </si>
  <si>
    <t xml:space="preserve">Enter values (length) in Infrastructure Input Sheet.
</t>
  </si>
  <si>
    <t xml:space="preserve">
Minor re-grading and seeding of pasture species. Includes inspector and labourer, backhoe, allowance for seed, vehicle.
</t>
  </si>
  <si>
    <t>#1.01</t>
  </si>
  <si>
    <t>Seismic survey rehabilitation in pasture</t>
  </si>
  <si>
    <t xml:space="preserve">
Enter length of seismic corridor, grid-lines, minor tracks requiring rehabilitation in pasture land (not the total length).
</t>
  </si>
  <si>
    <t>#1.02</t>
  </si>
  <si>
    <t>Seismic survey rehabilitation in native</t>
  </si>
  <si>
    <t>Enter length of seismic corridor, grid-lines, minor tracks requiring rehabilitation in native land (not the total length).</t>
  </si>
  <si>
    <t xml:space="preserve">
Minor re-grading and seeding of native species. Includes inspector and labourer, backhoe, allowance for seed, vehicle.
</t>
  </si>
  <si>
    <t>#1.03</t>
  </si>
  <si>
    <t>Seismic survey rehabilitation in arid</t>
  </si>
  <si>
    <t xml:space="preserve">
Enter length of seismic corridor, grid-lines, minor tracks requiring rehabilitation in arid land (not the total length).
</t>
  </si>
  <si>
    <t xml:space="preserve">
Minor re-grading. No seeding. Includes inspector and labourer, backhoe, vehicle.
</t>
  </si>
  <si>
    <t>#1.04</t>
  </si>
  <si>
    <t xml:space="preserve">
Enter area of seismic corridor, grid-lines, minor tracks requiring rehabilitation in pasture land (not the total length).
</t>
  </si>
  <si>
    <t>#1.05</t>
  </si>
  <si>
    <t>Enter area of seismic corridor, grid-lines, minor tracks requiring rehabilitation in native land (not the total length).</t>
  </si>
  <si>
    <t>#1.06</t>
  </si>
  <si>
    <t xml:space="preserve">
Enter area of seismic corridor, grid-lines, minor tracks requiring rehabilitation in native land (not the total length).
</t>
  </si>
  <si>
    <t>#1.07</t>
  </si>
  <si>
    <t>Enter length of track of shown width in pasture land.</t>
  </si>
  <si>
    <t xml:space="preserve">
Salvage soil adjacent to road, rip length of road, grade and seed with pasture species.
</t>
  </si>
  <si>
    <t>#1.08</t>
  </si>
  <si>
    <t>Enter length of track of shown width in native land.</t>
  </si>
  <si>
    <t xml:space="preserve">
Salvage soil adjacent to road, rip length of road, grade and seed with native species.
</t>
  </si>
  <si>
    <t>#1.09</t>
  </si>
  <si>
    <t>Enter length of track of shown width in arid land.</t>
  </si>
  <si>
    <t xml:space="preserve">
Rip length of road.
</t>
  </si>
  <si>
    <t>#1.10</t>
  </si>
  <si>
    <t>#1.11</t>
  </si>
  <si>
    <t>#1.12</t>
  </si>
  <si>
    <t>#1.13</t>
  </si>
  <si>
    <t>Enter area of track in pasture land.</t>
  </si>
  <si>
    <t>#1.14</t>
  </si>
  <si>
    <t>#1.15</t>
  </si>
  <si>
    <t>Enter area of track in native land.</t>
  </si>
  <si>
    <t>#1.16</t>
  </si>
  <si>
    <t>Lined Dam &lt;=1 ML</t>
  </si>
  <si>
    <t>dam</t>
  </si>
  <si>
    <t>Enter number of dams in shown size category.</t>
  </si>
  <si>
    <t xml:space="preserve">
Remove liner and dispose off-site, excavate, load, haul, dump and spread water storage sediment (thickness in Assumptions) and dump in void on-site, push in berms and place and spread, grade and seed (assumed 50:50 mix pasture and native species). Small fleet of D9 dozer, 340F excavator with shears to cut liner, CAT 740C (ADT) trucks, CAT 14M grader, and 19 kL water truck to excavate, load, haul, dump and spread water storage sediment and silt.
</t>
  </si>
  <si>
    <t>#1.17</t>
  </si>
  <si>
    <t>Lined Dam &gt;1 and &lt;= 3.5 ML</t>
  </si>
  <si>
    <t xml:space="preserve">Enter number of dams in shown size category.
</t>
  </si>
  <si>
    <t>As above</t>
  </si>
  <si>
    <t>#1.18</t>
  </si>
  <si>
    <t>Lined Dam &gt;3.5 and &lt;= 7.5 ML</t>
  </si>
  <si>
    <t>#1.19</t>
  </si>
  <si>
    <t>Lined Dam &gt;7.5 and &lt;= 10 ML</t>
  </si>
  <si>
    <t>#1.20</t>
  </si>
  <si>
    <t>Lined Dam &gt;10 and &lt;= 20 ML</t>
  </si>
  <si>
    <t>#1.21</t>
  </si>
  <si>
    <t>#1.22</t>
  </si>
  <si>
    <t>#1.23</t>
  </si>
  <si>
    <t>#1.24</t>
  </si>
  <si>
    <t>#1.25</t>
  </si>
  <si>
    <t>#1.26</t>
  </si>
  <si>
    <t>Coreholes installed using pitless drilling systems. Drilling equipment and materials removed by contractor at close of drilling activities. No fluids or wastes will require off-site management. Allowance for small area (see Wells Table in Assumptions) re-seed area.</t>
  </si>
  <si>
    <t>#1.27</t>
  </si>
  <si>
    <t>#1.28</t>
  </si>
  <si>
    <t>#1.29</t>
  </si>
  <si>
    <t>Drilling mud sump decommissioning</t>
  </si>
  <si>
    <t>sump</t>
  </si>
  <si>
    <t xml:space="preserve">Enter number of sumps associated with drillholes.  Not all drillholes will have sumps.
</t>
  </si>
  <si>
    <t>Mix, bury, cover. Excavator to fill hole back in, labour for a one day per sump.</t>
  </si>
  <si>
    <t>#1.30</t>
  </si>
  <si>
    <t xml:space="preserve">
Land area covered by demountable camps, water treatment plants, earthen laydown where infrastructure / equipment will be removed - pasture
</t>
  </si>
  <si>
    <t>Enter land area</t>
  </si>
  <si>
    <t>For such infrastructure, the modules / equipment is not owned by the company submitting the ERC and they are only responsible for grade and seed of the area. Cost includes trimming area and seeding with pasture species.</t>
  </si>
  <si>
    <t>#1.31</t>
  </si>
  <si>
    <t xml:space="preserve">
Land area covered by demountable camps, water treatment plants, earthen laydown where infrastructure / equipment will be removed - native
</t>
  </si>
  <si>
    <t>For such infrastructure, the modules / equipment is not owned by the company submitting the ERC and they are only responsible for grade and seed of the area. Cost includes trimming area and seeding with native species.</t>
  </si>
  <si>
    <t>#1.32</t>
  </si>
  <si>
    <t>Temporary camp - &gt; 50 and &lt;= 100 persons</t>
  </si>
  <si>
    <t>&lt;&lt;&lt; Select from dropdown</t>
  </si>
  <si>
    <t>Note to Developer - do not delete Cell in Col J</t>
  </si>
  <si>
    <t xml:space="preserve">Select company owned camp size in column E and enter number of category.
</t>
  </si>
  <si>
    <t xml:space="preserve">
Electrical and mechanical disconnection of accommodation, mess, ablution, laundry and recreational modules.  No hardstand as temporary camp. Some gravel removal and grade and seed. Transport of modules to storage area and wastes to disposal facilities. The rate includes all elements generally associated with a camp. In general no other rate is required unless there is a co-located major office / control centre for example.
</t>
  </si>
  <si>
    <t>#1.33</t>
  </si>
  <si>
    <t>Temporary camp - &gt; 20 and &lt;= 50 persons</t>
  </si>
  <si>
    <t xml:space="preserve">Note to Developer - do not delete Cell in Col J
</t>
  </si>
  <si>
    <t>#1.34</t>
  </si>
  <si>
    <t xml:space="preserve">Camp  not of shown capacity
</t>
  </si>
  <si>
    <t>#1.35</t>
  </si>
  <si>
    <t>Additional line item - user to name activity</t>
  </si>
  <si>
    <t>#1.36</t>
  </si>
  <si>
    <t>#1.37</t>
  </si>
  <si>
    <t>#1.38</t>
  </si>
  <si>
    <t>#1.39</t>
  </si>
  <si>
    <t>#1.40</t>
  </si>
  <si>
    <t>#1.41</t>
  </si>
  <si>
    <t>2. Roads, Tracks, Laydown and Borrow Pits</t>
  </si>
  <si>
    <t xml:space="preserve">Tracks (Infrastructure Sheet) </t>
  </si>
  <si>
    <t xml:space="preserve">Enter values (area) in Infrastructure Input Sheet.
</t>
  </si>
  <si>
    <t>#2.01</t>
  </si>
  <si>
    <t>#2.02</t>
  </si>
  <si>
    <t>#2.03</t>
  </si>
  <si>
    <t>#2.04</t>
  </si>
  <si>
    <t>#2.05</t>
  </si>
  <si>
    <t>#2.06</t>
  </si>
  <si>
    <t>#2.07</t>
  </si>
  <si>
    <t>#2.08</t>
  </si>
  <si>
    <t>#2.09</t>
  </si>
  <si>
    <t>#2.10</t>
  </si>
  <si>
    <t xml:space="preserve">
Remove rock / gravel / asphalt, salvage soil adjacent to road, rip length of road, grade and seed with pasture species.
</t>
  </si>
  <si>
    <t>#2.11</t>
  </si>
  <si>
    <t xml:space="preserve">
Remove rock / gravel / asphalt, salvage soil adjacent to road, rip length of road, grade and seed with native species.
</t>
  </si>
  <si>
    <t>#2.12</t>
  </si>
  <si>
    <t xml:space="preserve">Enter length of track of shown width in arid land.
</t>
  </si>
  <si>
    <t>Remove rock / gravel / asphalt, rip length of road. No seed.</t>
  </si>
  <si>
    <t>#2.13</t>
  </si>
  <si>
    <t>#2.14</t>
  </si>
  <si>
    <t>#2.15</t>
  </si>
  <si>
    <t>#2.16</t>
  </si>
  <si>
    <t xml:space="preserve">
Remove rock / gravel / asphalt, and replace with clean.
</t>
  </si>
  <si>
    <t>#2.17</t>
  </si>
  <si>
    <t>#2.18</t>
  </si>
  <si>
    <t>#2.19</t>
  </si>
  <si>
    <t>#2.20</t>
  </si>
  <si>
    <t>#2.21</t>
  </si>
  <si>
    <t>#2.22</t>
  </si>
  <si>
    <t>#2.23</t>
  </si>
  <si>
    <t>#2.24</t>
  </si>
  <si>
    <t xml:space="preserve">Enter area of track in arid land.
</t>
  </si>
  <si>
    <t>#2.25</t>
  </si>
  <si>
    <t>Enter area of laydown in pasture land.</t>
  </si>
  <si>
    <t xml:space="preserve">Rip area of laydown, salvage soil adjacent to laydown, grade and seed with pasture species.
</t>
  </si>
  <si>
    <t>#2.26</t>
  </si>
  <si>
    <t>Enter area of laydown in native land.</t>
  </si>
  <si>
    <t>#2.27</t>
  </si>
  <si>
    <t xml:space="preserve">Enter area of laydown in arid land.
</t>
  </si>
  <si>
    <t xml:space="preserve">Rip area of laydown, no seed.
</t>
  </si>
  <si>
    <t>#2.28</t>
  </si>
  <si>
    <t xml:space="preserve">Load and haul rock, rip / reshape area of laydown, salvage soil adjacent to laydown, grade and seed with pasture species.
</t>
  </si>
  <si>
    <t>#2.29</t>
  </si>
  <si>
    <t>Enter area of borrow pit in pasture land.</t>
  </si>
  <si>
    <t xml:space="preserve">Push in sides to lessen slope. CAT D11 dozer, load and haul growth media and reshape.
</t>
  </si>
  <si>
    <t>#2.30</t>
  </si>
  <si>
    <t>Enter area of borrow pit  in native land.</t>
  </si>
  <si>
    <t>#2.31</t>
  </si>
  <si>
    <t xml:space="preserve">Enter area of borrow pit  in arid land.
</t>
  </si>
  <si>
    <t>#2.32</t>
  </si>
  <si>
    <t>Enter footprint of landfill</t>
  </si>
  <si>
    <t xml:space="preserve">Cover up with dozer. Use soil from nearby.  Assumes dozer push of 3 lifts of 0.5 m.  Haul from nearby (up to 1000 m) using loader and trucks and place.
</t>
  </si>
  <si>
    <t>#2.33</t>
  </si>
  <si>
    <t>#2.34</t>
  </si>
  <si>
    <t>3. Camps,  Buildings, Sewage Treatment Plant</t>
  </si>
  <si>
    <t>Camps from Infrastructure Input Sheet</t>
  </si>
  <si>
    <t xml:space="preserve">Enter values (# camps) in Infrastructure Input Sheet.
</t>
  </si>
  <si>
    <t xml:space="preserve">
Electrical and mechanical disconnection of accommodation, mess, ablution, laundry and recreational modules.  No hardstand as temporary camp. Some gravel removal and grade and seed. Transport of modules to storage area and wastes to disposal facilities. The rate includes all elements generally associated with a camp except seeding which must be entered to the input sheet or in the three rates below this set). In general no other rate is required unless there is a co-located major office / control centre for example. Exceptions are contaminated land investigations which will only be required if a fuelling system is at the camp and any dams / ponds.</t>
  </si>
  <si>
    <t>#3.01</t>
  </si>
  <si>
    <t xml:space="preserve">
Enter area disturbed by camp. Rate includes allowance for rehabilitating land between and surrounding modules. However, if large areas of land are present that cannot reasonably be assumed to included with the camp, use land rehabilitation rates to account for this.
</t>
  </si>
  <si>
    <t xml:space="preserve">
Electrical and mechanical disconnection of accommodation, mess, ablution, laundry and recreational modules. No hardstand as temporary camp. Some gravel removal and grade and seed. Transport of modules to storage area and wastes to disposal facilities. The rate includes all elements generally associated with a camp. In general no other rate is required unless there is a co-located major office / control centre for example. 
</t>
  </si>
  <si>
    <t>#3.02</t>
  </si>
  <si>
    <t>#3.03</t>
  </si>
  <si>
    <t>Electrical and mechanical disconnection of accommodation, mess, ablution, laundry and recreational modules. Removal of hardstand and gravel removal, grade and seed. Transport of modules to storage area and wastes to disposal facilities. The rate includes all elements generally associated with a camp. In general no other rate is required unless there is a co-located major office / control centre for example.</t>
  </si>
  <si>
    <t>#3.04</t>
  </si>
  <si>
    <t>#3.05</t>
  </si>
  <si>
    <t>camps</t>
  </si>
  <si>
    <t xml:space="preserve">Enter # camps for this category.
</t>
  </si>
  <si>
    <t xml:space="preserve">
Electrical and mechanical disconnection of accommodation, mess, ablution, laundry and recreational modules. Allowance for removal of a mix concrete, asphalt and gravel, rip, level and seed. Transport of modules to storage area and wastes to disposal facilities. Grade and seed included. The rate includes all elements generally associated with a camp. In general no other rate is required unless there is a co-located major office / control centre and major switchyard for example.
</t>
  </si>
  <si>
    <t>#3.06</t>
  </si>
  <si>
    <t>#3.07</t>
  </si>
  <si>
    <t>#3.08</t>
  </si>
  <si>
    <t>#3.09</t>
  </si>
  <si>
    <t>#3.10</t>
  </si>
  <si>
    <t>#3.11</t>
  </si>
  <si>
    <t>#3.12</t>
  </si>
  <si>
    <t>#3.13</t>
  </si>
  <si>
    <t>#3.14</t>
  </si>
  <si>
    <t>#3.15</t>
  </si>
  <si>
    <t>#3.16</t>
  </si>
  <si>
    <t>#3.17</t>
  </si>
  <si>
    <t>#3.18</t>
  </si>
  <si>
    <t>#3.19</t>
  </si>
  <si>
    <t>#3.20</t>
  </si>
  <si>
    <t xml:space="preserve">
Electrical and mechanical disconnection of accommodation, mess, ablution, laundry and recreational modules. Removal of hardstand and gravel removal, grade and seed. Transport of modules to storage area and wastes to disposal facilities. Grade and seed included. The rate includes all elements generally associated with a camp. In general no other rate is required unless there is a co-located major office / control centre for example. Exceptions are contaminated land investigations which will only be required if a fuelling system is at the camp and any dams / ponds.
</t>
  </si>
  <si>
    <t>#3.21</t>
  </si>
  <si>
    <t>#3.22</t>
  </si>
  <si>
    <t>#3.23</t>
  </si>
  <si>
    <t>#3.24</t>
  </si>
  <si>
    <t>#3.25</t>
  </si>
  <si>
    <t>#3.26</t>
  </si>
  <si>
    <t>#3.27</t>
  </si>
  <si>
    <t>#3.28</t>
  </si>
  <si>
    <t>#3.29</t>
  </si>
  <si>
    <t>#3.30</t>
  </si>
  <si>
    <t>#3.31</t>
  </si>
  <si>
    <t>#3.32</t>
  </si>
  <si>
    <t>#3.33</t>
  </si>
  <si>
    <t>#3.34</t>
  </si>
  <si>
    <t>#3.35</t>
  </si>
  <si>
    <t xml:space="preserve">
Enter the area (footprint) of the building to be demolished. Buildings will typically be part of other facilities and grade and seed would be included in those rates. The footprint of buildings is relatively small and if grade and seed is required it can be assumed to be covered in this rate (as equipment will be on-site).
</t>
  </si>
  <si>
    <t xml:space="preserve">Empty contents, electrical and mechanical disconnection of building, remove steel roof and structure and cut-up, demolish brick walls and concrete slab, load and haul and disposal. See Assumptions for indication of size. Small buildings are small offices, pump rooms, stores.
</t>
  </si>
  <si>
    <t>#3.36</t>
  </si>
  <si>
    <t xml:space="preserve">Empty contents, electrical and mechanical disconnection of building, remove steel roof and structure and cut-up, demolish brick walls and concrete slab, load and haul and disposal. See Assumptions for indication of size. Large buildings are large permanent office blocks / control rooms.
</t>
  </si>
  <si>
    <t>#3.37</t>
  </si>
  <si>
    <t xml:space="preserve">Empty contents, electrical and mechanical disconnection of building, remove steel roof and wall cladding and structure and cut-up, demolish concrete slab, load and haul and disposal. Includes warehouse and workshops.
</t>
  </si>
  <si>
    <t>#3.38</t>
  </si>
  <si>
    <t xml:space="preserve">Empty contents, electrical and mechanical disconnection of building, remove steel roof and wall cladding and structure and cut-up, demolish concrete slab, load and haul and disposal.
</t>
  </si>
  <si>
    <t>#3.39</t>
  </si>
  <si>
    <t xml:space="preserve">
Enter the area (footprint) of the building to be demolished. The area is the footprint only as the rate takes account of the multi-storeys. Buildings will typically be part of other facilities and grade and seed would be included in those rates. The footprint of buildings is relatively small and if grade and seed is required it can be assumed to be covered in this rate (as equipment will be on-site). 
</t>
  </si>
  <si>
    <t xml:space="preserve">Empty contents, electrical and mechanical disconnection of building, remove steel roof and wall cladding and structure and cut-up, demolish concrete slabs, load and haul and disposal.
</t>
  </si>
  <si>
    <t>#3.40</t>
  </si>
  <si>
    <t xml:space="preserve">
Enter number of small demountable structures (e.g. small office.) This rate does not include grade and seed as a portable building will typically be within a larger area (e.g. laydown).
</t>
  </si>
  <si>
    <t>Electrical and mechanical disconnection, crane to lift to truck and transport to storage location at distance shown in Assumptions.</t>
  </si>
  <si>
    <t>#3.41</t>
  </si>
  <si>
    <t>Sewage Treatment Plant</t>
  </si>
  <si>
    <t xml:space="preserve">
Enter nameplate capacity of wastewater treatment plant. Rate is for aboveground unit with tanks.  If the facility has large in-ground clarifiers / settling ponds add a pond or tank rate. If the facility places / irrigates treated materials to land, add the area to the rate below.
</t>
  </si>
  <si>
    <t>Electrical and mechanical disconnection of tanks and pump sets, demolish / dispose or remove transport tanks and equipment, growth media, rip, seed land. Allowance for transport and apply to land residual solids.</t>
  </si>
  <si>
    <t>#3.42</t>
  </si>
  <si>
    <t>Irrigation area associated with Sewage Treatment Plant</t>
  </si>
  <si>
    <t xml:space="preserve">Enter area of land used to irrigate treated sewage.
</t>
  </si>
  <si>
    <t xml:space="preserve">Salvage local growth media, rip, seed.
</t>
  </si>
  <si>
    <t>#3.43</t>
  </si>
  <si>
    <t>#3.44</t>
  </si>
  <si>
    <t>4. Power Generation and Distribution</t>
  </si>
  <si>
    <t>#4.01</t>
  </si>
  <si>
    <t xml:space="preserve">Enter total number of kilometres. For low voltage power lines with steel towers.  </t>
  </si>
  <si>
    <t xml:space="preserve">
De-energise system; disconnect cables from tower, cut cables, load to truck and dispose off-site; attach pulling cables to tower (dogman) and crane; cut one-side legs (excavator and shears); pull over tower, cut up steel; demolish concrete footings, load and dispose off-site, grade and seed area around tower.
</t>
  </si>
  <si>
    <t>#4.02</t>
  </si>
  <si>
    <t xml:space="preserve">Enter total number of kilometres. For low voltage power lines with wooden poles.  </t>
  </si>
  <si>
    <t xml:space="preserve">
De-energise system; disconnect cables from tower, cut cables, load to truck and dispose off-site; chain saw pole, cut up, load and dispose off-site; demolish concrete footings, load and dispose off-site, grade and seed area around tower.
</t>
  </si>
  <si>
    <t>#4.03</t>
  </si>
  <si>
    <t xml:space="preserve">Enter total number of kilometres. For low voltage power lines with concrete poles.  </t>
  </si>
  <si>
    <t xml:space="preserve">
De-energise system; disconnect cables from tower, cut cables, load to truck and dispose off-site; excavator with rock breaker to demolish pole, break up, load and dispose off-site; demolish concrete footings, load and dispose off-site; demolish concrete footings, load and dispose off-site, grade and seed area around tower.
</t>
  </si>
  <si>
    <t>#4.04</t>
  </si>
  <si>
    <t>facility</t>
  </si>
  <si>
    <t>Enter number of single unit generating plants.</t>
  </si>
  <si>
    <t xml:space="preserve">
Assumes 1 single 3 MW unit. De-energise, disconnect, load and transport modules; disconnect portable buildings and transport; remove gravel surface and transport to re-use area; grade and seed; small land investigation around transformers.
</t>
  </si>
  <si>
    <t>#4.05</t>
  </si>
  <si>
    <t>Enter number of plants</t>
  </si>
  <si>
    <t xml:space="preserve">
Assumes 4 X 3 MW units. De-energise, disconnect, load and transport modules; disconnect portable buildings and transport; remove gravel surface and transport to re-use area; grade and seed; small land investigation around transformers.
</t>
  </si>
  <si>
    <t>#4.06</t>
  </si>
  <si>
    <t xml:space="preserve">
Assumes 8 X 3 MW units. De-energise, disconnect, load and transport modules; disconnect portable buildings and transport; remove gravel surface and transport to re-use area; grade and seed; small land investigation around transformers.
</t>
  </si>
  <si>
    <t>#4.07</t>
  </si>
  <si>
    <t xml:space="preserve">
Assumes 12 X 3 MW units. De-energise, disconnect, load and transport modules; disconnect portable buildings and transport; remove gravel surface and transport to re-use area; grade and seed; small land investigation around transformers.
</t>
  </si>
  <si>
    <t>#4.08</t>
  </si>
  <si>
    <t>Enter number of switchyards / substations</t>
  </si>
  <si>
    <t xml:space="preserve">Disconnect transformers electrically and mechanically; load transformers and sections on trucks and transport to  yard; pull cables, roll up and load to trucks for transport to storage; separate power factor correction units for transport; load miscellaneous components (e.g. circuit breakers) to trucks and transport for scrap; lightning masts knocked over with excavator and loaded to trucks for scrap. Lift portable buildings onto truck and transport for re-use. Pump out diesel from belly tank of generator and use in vehicles. Transport generator to storage. Demolish footings and load out concrete. Pump out oily water separator and demolish. Load out debris. Scrape up gravel and load-out
Grade and seed. Assumes power company will disconnect incoming lines from landing towers.
</t>
  </si>
  <si>
    <t>#4.09</t>
  </si>
  <si>
    <t xml:space="preserve">
Enter number of switchyards / substations
</t>
  </si>
  <si>
    <t>#4.10</t>
  </si>
  <si>
    <t>#4.11</t>
  </si>
  <si>
    <t>Communications towers</t>
  </si>
  <si>
    <t>tower</t>
  </si>
  <si>
    <t>Enter number of communications towers.</t>
  </si>
  <si>
    <t xml:space="preserve">
Equivalent of steel lattice towers with electronics.  Electronics removed and transported to storage. Tower pulled down, steel cut-up and transported to re-use yard (no credit for scrap value).
</t>
  </si>
  <si>
    <t>#4.12</t>
  </si>
  <si>
    <t>#4.13</t>
  </si>
  <si>
    <t>5. Wells Pads and Associated Infrastructure</t>
  </si>
  <si>
    <t>Wells Input Sheet</t>
  </si>
  <si>
    <t xml:space="preserve">
Scopes as for individual well items below. General note: where wells are connected to pipelines, the cut and cap at the well end is included in the well rate (no need to include in the pipeline allowances).
</t>
  </si>
  <si>
    <t>#5.01</t>
  </si>
  <si>
    <t>pad</t>
  </si>
  <si>
    <t>Enter number of well sites. If a beam pump remains add to rate below.</t>
  </si>
  <si>
    <t xml:space="preserve">
Remove sign, excavate to access casing, cut casing and cement, backfill, minimal grade and allowance for seed. See Assumptions for assumed land area (minimal for P&amp;A wells). No allowance for beam pump or sump.
</t>
  </si>
  <si>
    <t>#5.02</t>
  </si>
  <si>
    <t xml:space="preserve">Enter number of well pads. If a beam pump remains add to rate below.
</t>
  </si>
  <si>
    <t xml:space="preserve">
Remove above-ground equipment (does not include beam pump if remaining) and fencing. Grade and seed of pad size shown in Assumptions. No allowance for beam pump or sump.
</t>
  </si>
  <si>
    <t>#5.03</t>
  </si>
  <si>
    <t>Enter number of well pads.</t>
  </si>
  <si>
    <t xml:space="preserve">
Removal of above-ground equipment including beam and associated infrastructure and fencing  Allowance for liquid removal. Grade and seed of pad size shown in Assumptions.
</t>
  </si>
  <si>
    <t>#5.04</t>
  </si>
  <si>
    <t xml:space="preserve">
Removal of above-ground equipment and infrastructure and fencing, allowance for sludge and liquid disposal. Grade and seed of pad size shown in Assumptions. No allowance for beam pump or sump.
</t>
  </si>
  <si>
    <t>#5.05</t>
  </si>
  <si>
    <t xml:space="preserve">
Removal of above-ground equipment including beam and associated infrastructure and fencing, allowance for sludge disposal. Grade and seed of pad size shown in Assumptions.
</t>
  </si>
  <si>
    <t>#5.06</t>
  </si>
  <si>
    <t xml:space="preserve">
Enter number of well pads. If a beam pump remains either use rate above which includes beam or add a beam pump separately using the rate below.
</t>
  </si>
  <si>
    <t xml:space="preserve">
Removal of above-ground equipment and associated infrastructure and fencing, allowance for sludge disposal. Grade and seed of pad size shown in Assumptions.
</t>
  </si>
  <si>
    <t>#5.07</t>
  </si>
  <si>
    <t xml:space="preserve">Enter number of beam pumps. Use if a beam pump remains at a P&amp;A or suspended well site.
</t>
  </si>
  <si>
    <t xml:space="preserve">
Disconnect beam pump, lift onto truck, transport to storage area. Excavate and backfill cellar, transport soil to landfill.  Allowance for liquids removal and grade and seed.
</t>
  </si>
  <si>
    <t>#5.08</t>
  </si>
  <si>
    <t>Enter number of well sites.</t>
  </si>
  <si>
    <t xml:space="preserve">Remove sign, excavate to access casing, cut casing and cement, backfill, minimal grade and allowance for seed. See Assumptions for assumed land area (minimal for P&amp;A wells).
</t>
  </si>
  <si>
    <t>#5.09</t>
  </si>
  <si>
    <t xml:space="preserve">
Remove remaining above-ground equipment and fencing. Grade and seed of pad size shown in Assumptions. Headworks assumed removed. If they remain use shut-in rate.
</t>
  </si>
  <si>
    <t>#5.10</t>
  </si>
  <si>
    <t xml:space="preserve">
Removal of above-ground equipment including head works and associated infrastructure and fencing. Grade and seed of pad size shown in Assumptions.
</t>
  </si>
  <si>
    <t>#5.11</t>
  </si>
  <si>
    <t xml:space="preserve">
Removal of above-ground equipment including head works and associated infrastructure and fencing. Grade and seed of pad size shown in Assumptions. Does not include any water storage.
</t>
  </si>
  <si>
    <t>#5.12</t>
  </si>
  <si>
    <t>#5.13</t>
  </si>
  <si>
    <t>Enter number of well pads for shown category.</t>
  </si>
  <si>
    <t xml:space="preserve">
Removal of above-ground equipment including head works for up to 4 co-located wells and associated infrastructure and fencing. Grade and seed of pad size shown in Assumptions. Does not include any water storage.
</t>
  </si>
  <si>
    <t>#5.14</t>
  </si>
  <si>
    <t xml:space="preserve">
Removal of above-ground equipment including head works for greater than 4 co-located wells and associated infrastructure and fencing. Grade and seed of pad size shown in Assumptions. Does not include any water storage.
</t>
  </si>
  <si>
    <t>#5.15</t>
  </si>
  <si>
    <t xml:space="preserve">
Remove sign, excavate to access casing, cut casing and cement, backfill, minimal grade and allowance for seed. See Assumptions for assumed land area (minimal for P&amp;A wells).
</t>
  </si>
  <si>
    <t>#5.16</t>
  </si>
  <si>
    <t>#5.17</t>
  </si>
  <si>
    <t xml:space="preserve">
Remove wellhead infrastructure (bottle tree), pipe and fittings and fencing; excavate around well to gain access for cutting casing below grade and around transfer pipe penetration to cut and cap, cut and cap. Grade and seed of area shown in Assumptions.
</t>
  </si>
  <si>
    <t>#5.18</t>
  </si>
  <si>
    <t xml:space="preserve">
Remove wellhead infrastructure (bottle tree), pipe and fittings and fencing; remove and dispose sump liner and sludge; fill in sump; demolish flare pit; excavate around well to gain access for cutting casing below grade and around transfer pipe penetration to cut and cap, cut and cap. Grade and seed of area shown in Assumptions. Does not include any larger water storage.
</t>
  </si>
  <si>
    <t>#5.19</t>
  </si>
  <si>
    <t xml:space="preserve">
Remove wellhead infrastructure (bottle tree), pipe and fittings and fencing; excavate around well to gain access for cutting casing below grade and around transfer pipe penetration to cut and cap, cut and cap. Grade and seed of area shown in Assumptions. Does not include any larger water storage.
</t>
  </si>
  <si>
    <t>#5.20</t>
  </si>
  <si>
    <t xml:space="preserve">
Remove wellhead infrastructure (bottle tree), pipe and fittings for up to 4 co-located wells; remove fencing; remove and dispose sump liner and sludge; fill in sump; demolish flare pit; excavate around wells to gain access for cutting casing below grade and around transfer pipe penetration to cut and cap, cut and cap. Grade and seed of area shown in Assumptions. Does not include any larger water storage.
</t>
  </si>
  <si>
    <t>#5.21</t>
  </si>
  <si>
    <t xml:space="preserve">
Remove wellhead infrastructure (bottle tree), pipe and fittings for up to 4 co-located wells; remove fencing; excavate around well to gain access for cutting casing below grade and around transfer pipe penetration to cut and cap, cut and cap. Grade and seed of area shown in Assumptions. Does not include any larger water storage.
</t>
  </si>
  <si>
    <t>#5.22</t>
  </si>
  <si>
    <t xml:space="preserve">
Remove wellhead infrastructure (bottle tree), pipe and fittings for more than 4 co-located wells; remove fencing; remove and dispose sump liner and sludge; demolish flare pit; fill in sump; excavate around well to gain access for cutting casing below grade and around transfer pipe penetration to cut and cap, cut and cap.. Grade and seed of area shown in Assumptions. Does not include any larger water storage.
</t>
  </si>
  <si>
    <t>#5.23</t>
  </si>
  <si>
    <t xml:space="preserve">
Remove wellhead infrastructure (bottle tree), pipe and fittings for more than 4 co-located wells; remove fencing; excavate around well to gain access for cutting casing below grade and around transfer pipe penetration to cut and cap, cut and cap. Grade and seed of area shown in Assumptions. Does not include any larger water storage.
</t>
  </si>
  <si>
    <t>#5.24</t>
  </si>
  <si>
    <t>#5.25</t>
  </si>
  <si>
    <t>#5.26</t>
  </si>
  <si>
    <t xml:space="preserve">
Remove wellhead infrastructure, pipe and fittings and fencing; excavate around well to gain access for cutting casing below grade and around transfer pipe penetration to cut and cap, cut and cap. Grade and seed of area shown in Assumptions.
</t>
  </si>
  <si>
    <t>#5.27</t>
  </si>
  <si>
    <t xml:space="preserve">
Remove wellhead infrastructure, pipe and fittings and fencing; remove and dispose sump liner and sludge; fill in sump; demolish flare pit; excavate around well to gain access for cutting casing below grade and around transfer pipe penetration to cut and cap, cut and cap. Grade and seed of area shown in Assumptions. Does not include any larger water storage.
</t>
  </si>
  <si>
    <t>#5.28</t>
  </si>
  <si>
    <t xml:space="preserve">
Remove wellhead infrastructure, pipe and fittings and fencing; excavate around well to gain access for cutting casing below grade and around transfer pipe penetration to cut and cap, cut and cap. Grade and seed of area shown in Assumptions. Does not include any larger water storage.
</t>
  </si>
  <si>
    <t>#5.29</t>
  </si>
  <si>
    <t>#5.30</t>
  </si>
  <si>
    <t>#5.31</t>
  </si>
  <si>
    <t xml:space="preserve">Enter number of well pads for shown category. Only used for wells in a desert-type environment (e.g. Cooper Basin) where vegetation is typically not present.
</t>
  </si>
  <si>
    <t xml:space="preserve">
Remove sign, excavate to access casing, cut casing and cement, backfill, minimal grade, no seed. See Assumptions for assumed land area (minimal for P&amp;A wells). No allowance for beam pump or sump.
</t>
  </si>
  <si>
    <t>#5.32</t>
  </si>
  <si>
    <t xml:space="preserve">
Remove above-ground equipment (does not include beam pump if remaining) and fencing. Rip and grade pad size shown in Assumptions. No seed.  No allowance for beam pump or sump.
</t>
  </si>
  <si>
    <t>#5.33</t>
  </si>
  <si>
    <t xml:space="preserve">
Removal of above-ground equipment including beam and associated infrastructure and fencing  Allowance for liquid removal. Rip and grade pad size shown in Assumptions. No seed..
</t>
  </si>
  <si>
    <t>#5.34</t>
  </si>
  <si>
    <t xml:space="preserve">
Removal of above-ground equipment and infrastructure and fencing, allowance for sludge and liquid disposal. Rip and grade pad size shown in Assumptions. No seed.  No allowance for beam pump or sump.
</t>
  </si>
  <si>
    <t>#5.35</t>
  </si>
  <si>
    <t xml:space="preserve">
Removal of above-ground equipment including beam and associated infrastructure and fencing, allowance for sludge disposal. Rip and grade pad size shown in Assumptions. No seed.  
</t>
  </si>
  <si>
    <t>#5.36</t>
  </si>
  <si>
    <t xml:space="preserve">Enter number of well pads for shown category. Only used for wells in a desert-type environment (e.g. Cooper Basin) where vegetation is typically not present. If beam pump is present use rate above or add separately using rate below.
</t>
  </si>
  <si>
    <t xml:space="preserve">Removal of above-ground equipment and associated infrastructure and fencing, allowance for sludge disposal. Rip and grade pad size shown in Assumptions. No seed.  
</t>
  </si>
  <si>
    <t>#5.37</t>
  </si>
  <si>
    <t xml:space="preserve">
Disconnect beam pump, lift onto truck, transport to storage area. Excavate and backfill cellar, transport soil to landfill.  Allowance for liquids removal. Rip and grade pad size shown in Assumptions. No seed.  
</t>
  </si>
  <si>
    <t>#5.38</t>
  </si>
  <si>
    <t xml:space="preserve">
Remove sign, excavate to access casing, cut casing and cement, backfill, minimal grade, no seed. See Assumptions for assumed land area (minimal for P&amp;A wells).
</t>
  </si>
  <si>
    <t>#5.39</t>
  </si>
  <si>
    <t xml:space="preserve">
Remove remaining above-ground equipment and fencing. Rip and grade pad size shown in Assumptions. No seed.   Headworks assumed removed. If they remain use shut-in rate.
</t>
  </si>
  <si>
    <t>#5.40</t>
  </si>
  <si>
    <t xml:space="preserve">
Removal of above-ground equipment including head works and associated infrastructure and fencing. Rip and grade pad size shown in Assumptions. No seed. 
</t>
  </si>
  <si>
    <t>#5.41</t>
  </si>
  <si>
    <t xml:space="preserve">
Removal of above-ground equipment including head works and associated infrastructure and fencing. Rip and grade pad size shown in Assumptions. No seed. Does not include any water storage.
</t>
  </si>
  <si>
    <t>#5.42</t>
  </si>
  <si>
    <t xml:space="preserve">
Removal of above-ground equipment including head works and associated infrastructure and fencing. Rip and grade pad size shown in Assumptions. No seed.  Does not include any water storage.
</t>
  </si>
  <si>
    <t>#5.43</t>
  </si>
  <si>
    <t xml:space="preserve">
Removal of above-ground equipment including head works for up to 4 co-located wells and associated infrastructure and fencing. Rip and grade pad size shown in Assumptions. No seed. Does not include any water storage.
</t>
  </si>
  <si>
    <t>#5.44</t>
  </si>
  <si>
    <t xml:space="preserve">
Removal of above-ground equipment including head works for greater than 4 co-located wells  and associated infrastructure and fencing. Rip and grade pad size shown in Assumptions. No seed. Does not include any water storage.
</t>
  </si>
  <si>
    <t>#5.45</t>
  </si>
  <si>
    <t xml:space="preserve">
Remove sign, excavate to access casing, cut casing and cement, backfill, minimal grade. No seed.  See Assumptions for assumed land area (minimal for P&amp;A wells).
</t>
  </si>
  <si>
    <t>#5.46</t>
  </si>
  <si>
    <t>#5.47</t>
  </si>
  <si>
    <t xml:space="preserve">
Remove wellhead infrastructure (bottle tree), pipe and fittings and fencing; excavate around well to gain access for cutting casing below grade and around transfer pipe penetration to cut and cap, cut and cap. Rip and grade pad size shown in Assumptions. No seed. 
</t>
  </si>
  <si>
    <t>#5.48</t>
  </si>
  <si>
    <t xml:space="preserve">
Remove wellhead infrastructure (bottle tree), pipe and fittings and fencing; remove and dispose sump liner and sludge; fill in sump; demolish flare pit; excavate around well to gain access for cutting casing below grade and around transfer pipe penetration to cut and cap, cut and cap. Rip and grade pad size shown in Assumptions. No seed.  Does not include any larger water storage.
</t>
  </si>
  <si>
    <t>#5.49</t>
  </si>
  <si>
    <t xml:space="preserve">
Remove wellhead infrastructure (bottle tree), pipe and fittings and fencing; excavate around well to gain access for cutting casing below grade and around transfer pipe penetration to cut and cap, cut and cap. Rip and grade pad size shown in Assumptions. No seed.. Does not include any larger water storage.
</t>
  </si>
  <si>
    <t>#5.50</t>
  </si>
  <si>
    <t xml:space="preserve">
Remove wellhead infrastructure (bottle tree), pipe and fittings for up to 4 co-located wells; remove fencing; remove and dispose sump liner and sludge; fill in sump; demolish flare pit; excavate around wells to gain access for cutting casing below grade and around transfer pipe penetration to cut and cap, cut and cap. Rip and grade pad size shown in Assumptions. No seed. . Does not include any larger water storage.
</t>
  </si>
  <si>
    <t>#5.51</t>
  </si>
  <si>
    <t xml:space="preserve">
Remove wellhead infrastructure (bottle tree), pipe and fittings for up to 4 co-located wells; remove fencing; excavate around well to gain access for cutting casing below grade and around transfer pipe penetration to cut and cap, cut and cap. Rip and grade pad size shown in Assumptions. No seed.  Does not include any larger water storage.
</t>
  </si>
  <si>
    <t>#5.52</t>
  </si>
  <si>
    <t xml:space="preserve">
Remove wellhead infrastructure (bottle tree), pipe and fittings for more than 4 co-located wells; remove fencing; remove and dispose sump liner and sludge; demolish flare pit; fill in sump; excavate around well to gain access for cutting casing below grade and around transfer pipe penetration to cut and cap, cut and cap. Rip and grade pad size shown in Assumptions. No seed.  Does not include any larger water storage.
</t>
  </si>
  <si>
    <t>#5.53</t>
  </si>
  <si>
    <t xml:space="preserve">
Remove wellhead infrastructure (bottle tree), pipe and fittings for more than 4 co-located wells; remove fencing; excavate around well to gain access for cutting casing below grade and around transfer pipe penetration to cut and cap, cut and cap. Rip and grade pad size shown in Assumptions. No seed.  Does not include any larger water storage.
</t>
  </si>
  <si>
    <t>#5.54</t>
  </si>
  <si>
    <t xml:space="preserve">
Remove sign, excavate to access casing, cut casing and cement, backfill, minimal grade. No seed. See Assumptions for assumed land area (minimal for P&amp;A wells).
</t>
  </si>
  <si>
    <t>#5.55</t>
  </si>
  <si>
    <t>#5.56</t>
  </si>
  <si>
    <t xml:space="preserve">
Remove wellhead infrastructure, pipe and fittings and fencing; excavate around well to gain access for cutting casing below grade and around transfer pipe penetration to cut and cap, cut and cap. Rip and grade pad size shown in Assumptions. No seed. 
</t>
  </si>
  <si>
    <t>#5.57</t>
  </si>
  <si>
    <t xml:space="preserve">
Remove wellhead infrastructure, pipe and fittings and fencing; remove and dispose sump liner and sludge; fill in sump; demolish flare pit; excavate around well to gain access for cutting casing below grade and around transfer pipe penetration to cut and cap, cut and cap. Rip and grade pad size shown in Assumptions. No seed.  Does not include any larger water storage.
</t>
  </si>
  <si>
    <t>#5.58</t>
  </si>
  <si>
    <t xml:space="preserve">
Remove wellhead infrastructure, pipe and fittings and fencing; excavate around well to gain access for cutting casing below grade and around transfer pipe penetration to cut and cap, cut and cap. Rip and grade pad size shown in Assumptions. No seed. Does not include any larger water storage
</t>
  </si>
  <si>
    <t>#5.59</t>
  </si>
  <si>
    <t>#5.60</t>
  </si>
  <si>
    <t>#5.61</t>
  </si>
  <si>
    <t>insertion</t>
  </si>
  <si>
    <t>Enter number of lateral insertions</t>
  </si>
  <si>
    <t xml:space="preserve">
Labourer remove sign, cut pipe below grade and backfill.  Backhoe to assist digging, backfilling and loading debris to crane truck.
</t>
  </si>
  <si>
    <t>#5.62</t>
  </si>
  <si>
    <t>Cold cutting and removal of well head</t>
  </si>
  <si>
    <t>well</t>
  </si>
  <si>
    <t xml:space="preserve">
Enter number of well heads. The rolled-up rates above include removal of well-head infrastructure. This rate is used in isolation and can be used to account for headworks remaining where the rate above assumes they are removed (e.g. suspended).
</t>
  </si>
  <si>
    <t xml:space="preserve">
Removal of sign, excavate around well to gain access for cutting casing below grade, removal of any grout/cement and backfill with natural soil and seed.
</t>
  </si>
  <si>
    <t>#5.63</t>
  </si>
  <si>
    <t>Sump / pit decommissioning</t>
  </si>
  <si>
    <t xml:space="preserve">
Enter number of sumps. The rolled-up rates above include sumps and this rate is not required in addition. 
</t>
  </si>
  <si>
    <t>Excavator to fill hole back in, labour and supervisor.</t>
  </si>
  <si>
    <t>#5.64</t>
  </si>
  <si>
    <t>Clean water dams / sediment control structures to be retained after closure – make safe and minor earthworks</t>
  </si>
  <si>
    <t>structures</t>
  </si>
  <si>
    <t>Enter number of structures. Do not use for water storage (ponds and dams).</t>
  </si>
  <si>
    <t xml:space="preserve">
Excavator and trucks for cleaning of spoil locations.
</t>
  </si>
  <si>
    <t>#5.65</t>
  </si>
  <si>
    <t>#5.66</t>
  </si>
  <si>
    <t>6. Pipelines</t>
  </si>
  <si>
    <t>Pipelines Input Sheet</t>
  </si>
  <si>
    <t>Enter easement area to be rehabilitated. Values in Column G come from the Input sheet. Column H can be used in addition or instead of Column G.</t>
  </si>
  <si>
    <t xml:space="preserve">Rip and grade using 14M Grader. Direct seeding of non native pasture grass species with the principal aim of returning the land to stable, sustainable grazing land use. Rate includes purchase of seed and fertiliser and application.
</t>
  </si>
  <si>
    <t>#6.01</t>
  </si>
  <si>
    <t>Buried gas decommissioning - purging (&lt; = 0.5 m diameter)</t>
  </si>
  <si>
    <t>Enter length of pipeline to be purged</t>
  </si>
  <si>
    <t xml:space="preserve">
Cleaning line with a pig, dispose residual liquid, purge. Slurry filling is separate (use crossings rates). Material can be HDPE or steel.
</t>
  </si>
  <si>
    <t>#6.02</t>
  </si>
  <si>
    <t>Buried gas pipeline decommissioning - purging (&gt; 0.5 m diameter)</t>
  </si>
  <si>
    <t>#6.03</t>
  </si>
  <si>
    <t>Buried oil decommissioning - purging (&lt;= 100 mm diameter)</t>
  </si>
  <si>
    <t xml:space="preserve">
Cleaning line with a pig, dispose residual liquid Slurry filling is separate (use crossings rates). Material can be HDPE or steel.
</t>
  </si>
  <si>
    <t>#6.04</t>
  </si>
  <si>
    <t>Buried oil decommissioning - purging (&gt; 100 mm, &lt;=250mm diameter)</t>
  </si>
  <si>
    <t>#6.05</t>
  </si>
  <si>
    <t>Buried oil pipeline decommissioning - purging (&gt; 250 mm diameter)</t>
  </si>
  <si>
    <t>#6.06</t>
  </si>
  <si>
    <t>Removal of buried pipelines</t>
  </si>
  <si>
    <t>Enter length of pipeline to be removed</t>
  </si>
  <si>
    <t xml:space="preserve">Excavate to top of pipe using an excavator, rip up pipe, backfill and track roll, final grade and seed. Load plastic /  steel to truck and transport for off-site disposal. No gate fee or credit for steel.  Material can be HDPE or steel.
</t>
  </si>
  <si>
    <t>#6.07</t>
  </si>
  <si>
    <t>Removal of above ground pipe (gas)</t>
  </si>
  <si>
    <t xml:space="preserve">
Excavator with shears cuts pipe, minor grade and seed.  Load / plastic steel to truck and transport for off-site disposal.  No gate fee or credit for steel.  Material can be HDPE or steel.
</t>
  </si>
  <si>
    <t>#6.08</t>
  </si>
  <si>
    <t>Removal of above ground pipe (oil)</t>
  </si>
  <si>
    <t xml:space="preserve">Excavator with shears cuts pipe, minor grade and seed.  Load plastic / steel to truck and transport for off-site disposal.  No gate fee or credit for steel.
</t>
  </si>
  <si>
    <t>#6.09</t>
  </si>
  <si>
    <t>Removal of above ground pipe (water)</t>
  </si>
  <si>
    <t xml:space="preserve">Excavator with shears cuts pipe, minor grade and seed.  Load plastic / steel to truck and transport for off-site disposal.  No gate fee or credit for steel.  Material can be HDPE or steel.
</t>
  </si>
  <si>
    <t>#6.10</t>
  </si>
  <si>
    <t>Grade and seed user entered easement width - Full rehab required (pasture)</t>
  </si>
  <si>
    <t>Enter width and length of easement to be rehabilitated.</t>
  </si>
  <si>
    <t xml:space="preserve">
Rip and grade using 14M Grader. Direct seeding of non native pasture grass species with the principal aim of returning the land to stable, sustainable grazing land use. Rate includes purchase of seed and fertiliser and application.
</t>
  </si>
  <si>
    <t>#6.11</t>
  </si>
  <si>
    <t>Grade and seed &lt;=6 m easement - Full rehab required (pasture)</t>
  </si>
  <si>
    <t xml:space="preserve">Enter length of easement to be rehabilitated.
</t>
  </si>
  <si>
    <t xml:space="preserve">As above
</t>
  </si>
  <si>
    <t>#6.12</t>
  </si>
  <si>
    <t>Grade and seed &gt;6 and &lt;=12 m easement - Full rehab required (pasture)</t>
  </si>
  <si>
    <t>#6.13</t>
  </si>
  <si>
    <t>Grade and seed &gt;12 and &lt;=15 m easement - Full rehab required (pasture)</t>
  </si>
  <si>
    <t>#6.14</t>
  </si>
  <si>
    <t>Grade and seed &gt;15 and &lt;=20 m easement - Full rehab required (pasture)</t>
  </si>
  <si>
    <t>#6.15</t>
  </si>
  <si>
    <t>Grade and seed &gt;20 and &lt;=25 m easement - Full rehab required (pasture)</t>
  </si>
  <si>
    <t>#6.16</t>
  </si>
  <si>
    <t>Grade and seed &gt;25 and &lt;=30 m easement - Full rehab required (pasture)</t>
  </si>
  <si>
    <t>#6.17</t>
  </si>
  <si>
    <t>Grade and seed &gt;30 and &lt;=35 m easement - Full rehab required (pasture)</t>
  </si>
  <si>
    <t>#6.18</t>
  </si>
  <si>
    <t>Grade and seed &gt;35 and &lt;=40 m easement - Full rehab required (pasture)</t>
  </si>
  <si>
    <t>#6.19</t>
  </si>
  <si>
    <t>Grade and seed &gt;40 and &lt;=50 m easement - Full rehab required (pasture)</t>
  </si>
  <si>
    <t>#6.20</t>
  </si>
  <si>
    <t>Grade and seed &gt;50 and &lt;=60 m easement - Full rehab required (pasture)</t>
  </si>
  <si>
    <t>#6.21</t>
  </si>
  <si>
    <t>Grade and seed &gt;60 and &lt;=80 m easement - Full rehab required (pasture)</t>
  </si>
  <si>
    <t>#6.22</t>
  </si>
  <si>
    <t>Grade and seed &gt;100 m easement - Full rehab required (pasture)</t>
  </si>
  <si>
    <t>#6.23</t>
  </si>
  <si>
    <t>Grade and seed user entered easement width - Full rehab required (native)</t>
  </si>
  <si>
    <t>Enter width and length of easement</t>
  </si>
  <si>
    <t xml:space="preserve">
Rip and grade using 14M Grader. Acquire a diverse mix of native tree and shrub species appropriate for the area (including understorey), mixing and treating the seed (i.e. smoke and heat as required) and applying the seed at a rate between 4 - 10kg/ha (as applicable).Rate includes purchase of seed, and seedlings, and fertiliser and application. Seedling cost allows for the preparation, germination and propagation of “tube stock” seedling plants that are hand planted.
</t>
  </si>
  <si>
    <t>#6.24</t>
  </si>
  <si>
    <t>Grade and seed &lt;=6 m easement - Full rehab required (native)</t>
  </si>
  <si>
    <t xml:space="preserve">Enter length of easement
</t>
  </si>
  <si>
    <t>#6.25</t>
  </si>
  <si>
    <t>Grade and seed &gt;6 and &lt;=12 m easement - Full rehab required (native)</t>
  </si>
  <si>
    <t>#6.26</t>
  </si>
  <si>
    <t>Grade and seed &gt;12 and &lt;=15 m easement - Full rehab required (native)</t>
  </si>
  <si>
    <t>#6.27</t>
  </si>
  <si>
    <t>Grade and seed &gt;15 and &lt;=20 m easement - Full rehab required (native)</t>
  </si>
  <si>
    <t>#6.28</t>
  </si>
  <si>
    <t>Grade and seed &gt;20 and &lt;=25 m easement - Full rehab required (native)</t>
  </si>
  <si>
    <t>#6.29</t>
  </si>
  <si>
    <t>Grade and seed &gt;25 and &lt;=30 m easement - Full rehab required (native)</t>
  </si>
  <si>
    <t>#6.30</t>
  </si>
  <si>
    <t>Grade and seed &gt;30 and &lt;=35 m easement - Full rehab required (native)</t>
  </si>
  <si>
    <t>#6.31</t>
  </si>
  <si>
    <t>Grade and seed &gt;35 and &lt;=40 m easement - Full rehab required (native)</t>
  </si>
  <si>
    <t>#6.32</t>
  </si>
  <si>
    <t>Grade and seed &gt;40 and &lt;=50 m easement - Full rehab required (native)</t>
  </si>
  <si>
    <t>#6.33</t>
  </si>
  <si>
    <t>Grade and seed &gt;50 and &lt;=60 m easement - Full rehab required (native)</t>
  </si>
  <si>
    <t>#6.34</t>
  </si>
  <si>
    <t>Grade and seed &gt;60 and &lt;=80 m easement - Full rehab required (native)</t>
  </si>
  <si>
    <t>#6.35</t>
  </si>
  <si>
    <t>Grade and seed &gt;100 m easement - Full rehab required (native)</t>
  </si>
  <si>
    <t>#6.36</t>
  </si>
  <si>
    <t>Grade and seed &lt;=6 m easement - Full rehab required (arid)</t>
  </si>
  <si>
    <t>#6.37</t>
  </si>
  <si>
    <t>Grade and seed &gt;6 and &lt;=12 m easement - Full rehab required (arid)</t>
  </si>
  <si>
    <t>#6.38</t>
  </si>
  <si>
    <t>Grade and seed &gt;12 and &lt;=15 m easement - Full rehab required (arid)</t>
  </si>
  <si>
    <t>#6.39</t>
  </si>
  <si>
    <t>Grade and seed &gt;15 and &lt;=20 m easement - Full rehab required (arid)</t>
  </si>
  <si>
    <t>#6.40</t>
  </si>
  <si>
    <t>Grade and seed &gt;20 and &lt;=25 m easement - Full rehab required (arid)</t>
  </si>
  <si>
    <t>#6.41</t>
  </si>
  <si>
    <t>Grade and seed &gt;25 and &lt;=30 m easement - Full rehab required (arid)</t>
  </si>
  <si>
    <t>#6.42</t>
  </si>
  <si>
    <t>Grade and seed &gt;30 and &lt;=35 m easement - Full rehab required (arid)</t>
  </si>
  <si>
    <t>#6.43</t>
  </si>
  <si>
    <t>Grade and seed &gt;35 and &lt;=40 m easement - Full rehab required (arid)</t>
  </si>
  <si>
    <t>#6.44</t>
  </si>
  <si>
    <t>Grade and seed &gt;40 and &lt;=50 m easement - Full rehab required (arid)</t>
  </si>
  <si>
    <t>#6.45</t>
  </si>
  <si>
    <t>Grade and seed &gt;50 and &lt;=60 m easement - Full rehab required (arid)</t>
  </si>
  <si>
    <t>#6.46</t>
  </si>
  <si>
    <t>Grade and seed &gt;60 and &lt;=80 m easement - Full rehab required (arid)</t>
  </si>
  <si>
    <t>#6.47</t>
  </si>
  <si>
    <t>Grade and seed &gt;100 m easement - Full rehab required (arid)</t>
  </si>
  <si>
    <t>#6.48</t>
  </si>
  <si>
    <t>Grade and seed user entered easement width - Rehab'd to op width (pasture)</t>
  </si>
  <si>
    <t xml:space="preserve">Enter area and length of easement
</t>
  </si>
  <si>
    <t xml:space="preserve">Final trim using 14M Grader. Direct seeding of non native pasture grass species with the principal aim of returning the land to stable, sustainable grazing land use. Rate includes purchase of seed and fertiliser and application.
</t>
  </si>
  <si>
    <t>#6.49</t>
  </si>
  <si>
    <t>Grade and seed &lt;=6 m easement - Rehab'd to op width (pasture)</t>
  </si>
  <si>
    <t>#6.50</t>
  </si>
  <si>
    <t>Grade and seed &gt;6 and &lt;=12 m easement - Rehab'd to op width (pasture)</t>
  </si>
  <si>
    <t>#6.51</t>
  </si>
  <si>
    <t>Grade and seed &gt;12 and &lt;=15 m easement - Rehab'd to op width (pasture)</t>
  </si>
  <si>
    <t>#6.52</t>
  </si>
  <si>
    <t>Grade and seed &gt;15 and &lt;=20 m easement - Rehab'd to op width (pasture)</t>
  </si>
  <si>
    <t>#6.53</t>
  </si>
  <si>
    <t>Grade and seed &gt;20 and &lt;=25 m easement - Rehab'd to op width (pasture)</t>
  </si>
  <si>
    <t>#6.54</t>
  </si>
  <si>
    <t>Grade and seed &gt;25 and &lt;=30 m easement - Rehab'd to op width (pasture)</t>
  </si>
  <si>
    <t>#6.55</t>
  </si>
  <si>
    <t>Grade and seed &gt;30 and &lt;=35 m easement - Rehab'd to op width (pasture)</t>
  </si>
  <si>
    <t>#6.56</t>
  </si>
  <si>
    <t>Grade and seed &gt;35 and &lt;=40 m easement - Rehab'd to op width (pasture)</t>
  </si>
  <si>
    <t>#6.57</t>
  </si>
  <si>
    <t>Grade and seed &gt;40 and &lt;=50 m easement - Rehab'd to op width (pasture)</t>
  </si>
  <si>
    <t>#6.58</t>
  </si>
  <si>
    <t>Grade and seed &gt;50 and &lt;=60 m easement - Rehab'd to op width (pasture)</t>
  </si>
  <si>
    <t>#6.59</t>
  </si>
  <si>
    <t>Grade and seed &gt;60 and &lt;=80 m easement - Rehab'd to op width (pasture)</t>
  </si>
  <si>
    <t>#6.60</t>
  </si>
  <si>
    <t>Grade and seed &gt;100 m easement - Rehab'd to op width (pasture)</t>
  </si>
  <si>
    <t>#6.61</t>
  </si>
  <si>
    <t>Grade and seed user entered easement width -  Rehab'd to op width (native)</t>
  </si>
  <si>
    <t xml:space="preserve">Enter width and length of easement
</t>
  </si>
  <si>
    <t xml:space="preserve">
Final trim using 14M Grader.  using 14M Grader. Acquire a diverse mix of native tree and shrub species appropriate for the area (including understorey), mixing and treating the seed (i.e. smoke and heat as required) and applying the seed at a rate between 4 - 10kg/ha (as applicable).Rate includes purchase of seed, and seedlings, and fertiliser and application. Seedling cost allows for the preparation, germination and propagation of “tube stock” seedling plants that are hand planted.
</t>
  </si>
  <si>
    <t>#6.62</t>
  </si>
  <si>
    <t>Grade and seed &lt;=6 m easement - Rehab'd to op width (native)</t>
  </si>
  <si>
    <t>#6.63</t>
  </si>
  <si>
    <t>Grade and seed &gt;6 and &lt;=12 m easement - Rehab'd to op width (native)</t>
  </si>
  <si>
    <t>#6.64</t>
  </si>
  <si>
    <t>Grade and seed &gt;12 and &lt;=15 m easement - Rehab'd to op width (native)</t>
  </si>
  <si>
    <t>#6.65</t>
  </si>
  <si>
    <t>Grade and seed &gt;15 and &lt;=20 m easement - Rehab'd to op width (native)</t>
  </si>
  <si>
    <t>#6.66</t>
  </si>
  <si>
    <t>Grade and seed &gt;20 and &lt;=25 m easement - Rehab'd to op width (native)</t>
  </si>
  <si>
    <t>#6.67</t>
  </si>
  <si>
    <t>Grade and seed &gt;25 and &lt;=30 m easement - Rehab'd to op width (native)</t>
  </si>
  <si>
    <t>#6.68</t>
  </si>
  <si>
    <t>Grade and seed &gt;30 and &lt;=35 m easement - Rehab'd to op width (native)</t>
  </si>
  <si>
    <t>#6.69</t>
  </si>
  <si>
    <t>Grade and seed &gt;35 and &lt;=40 m easement - Rehab'd to op width (native)</t>
  </si>
  <si>
    <t>#6.70</t>
  </si>
  <si>
    <t>Grade and seed &gt;40 and &lt;=50 m easement - Rehab'd to op width (native)</t>
  </si>
  <si>
    <t>#6.71</t>
  </si>
  <si>
    <t>Grade and seed &gt;50 and &lt;=60 m easement - Rehab'd to op width (native)</t>
  </si>
  <si>
    <t>#6.72</t>
  </si>
  <si>
    <t>Grade and seed &gt;60 and &lt;=80 m easement - Rehab'd to op width (native)</t>
  </si>
  <si>
    <t>#6.73</t>
  </si>
  <si>
    <t>Grade and seed &gt;100 m easement - Rehab'd to op width (native)</t>
  </si>
  <si>
    <t>#6.74</t>
  </si>
  <si>
    <t>Grade and seed &lt;=6 m easement - Rehab'd to op width (arid)</t>
  </si>
  <si>
    <t>#6.75</t>
  </si>
  <si>
    <t>Grade and seed &gt;6 and &lt;=12 m easement - Rehab'd to op width (arid)</t>
  </si>
  <si>
    <t>#6.76</t>
  </si>
  <si>
    <t>Grade and seed &gt;12 and &lt;=15 m easement - Rehab'd to op width (arid)</t>
  </si>
  <si>
    <t>#6.77</t>
  </si>
  <si>
    <t>Grade and seed &gt;15 and &lt;=20 m easement - Rehab'd to op width (arid)</t>
  </si>
  <si>
    <t>#6.78</t>
  </si>
  <si>
    <t>Grade and seed &gt;20 and &lt;=25 m easement - Rehab'd to op width (arid)</t>
  </si>
  <si>
    <t>#6.79</t>
  </si>
  <si>
    <t>Grade and seed &gt;25 and &lt;=30 m easement - Rehab'd to op width (arid)</t>
  </si>
  <si>
    <t>#6.80</t>
  </si>
  <si>
    <t>Grade and seed &gt;30 and &lt;=35 m easement - Rehab'd to op width (arid)</t>
  </si>
  <si>
    <t>#6.81</t>
  </si>
  <si>
    <t>Grade and seed &gt;35 and &lt;=40 m easement - Rehab'd to op width (arid)</t>
  </si>
  <si>
    <t>#6.82</t>
  </si>
  <si>
    <t>Grade and seed &gt;40 and &lt;=50 m easement - Rehab'd to op width (arid)</t>
  </si>
  <si>
    <t>#6.83</t>
  </si>
  <si>
    <t>Grade and seed &gt;50 and &lt;=60 m easement - Rehab'd to op width (arid)</t>
  </si>
  <si>
    <t>#6.84</t>
  </si>
  <si>
    <t>Grade and seed &gt;60 and &lt;=80 m easement - Rehab'd to op width (arid)</t>
  </si>
  <si>
    <t>#6.85</t>
  </si>
  <si>
    <t>Grade and seed &gt;100 m easement - Rehab'd to op width (arid)</t>
  </si>
  <si>
    <t>#6.86</t>
  </si>
  <si>
    <t>Grade and seed user entered easement width -  inspection only (pasture)</t>
  </si>
  <si>
    <t xml:space="preserve">Inspection and minor re-seeding of 25% of total length with pasture species.
</t>
  </si>
  <si>
    <t>#6.87</t>
  </si>
  <si>
    <t>Grade and seed &lt;=6 m easement - Inspect only (Pasture)</t>
  </si>
  <si>
    <t>#6.88</t>
  </si>
  <si>
    <t>Grade and seed &gt;6 and &lt;=12 m easement - Inspect only (Pasture)</t>
  </si>
  <si>
    <t>#6.89</t>
  </si>
  <si>
    <t>Grade and seed &gt;12 and &lt;=15 m easement - Inspect only (Pasture)</t>
  </si>
  <si>
    <t>#6.90</t>
  </si>
  <si>
    <t>Grade and seed &gt;15 and &lt;=20 m easement - Inspect only (Pasture)</t>
  </si>
  <si>
    <t>#6.91</t>
  </si>
  <si>
    <t>Grade and seed &gt;20 and &lt;=25 m easement - Inspect only (Pasture)</t>
  </si>
  <si>
    <t>#6.92</t>
  </si>
  <si>
    <t>Grade and seed &gt;25 and &lt;=30 m easement - Inspect only (Pasture)</t>
  </si>
  <si>
    <t>#6.93</t>
  </si>
  <si>
    <t>Grade and seed &gt;30 and &lt;=35 m easement - Inspect only (Pasture)</t>
  </si>
  <si>
    <t>#6.94</t>
  </si>
  <si>
    <t>Grade and seed &gt;35 and &lt;=40 m easement - Inspect only (Pasture)</t>
  </si>
  <si>
    <t>#6.95</t>
  </si>
  <si>
    <t>Grade and seed &gt;40 and &lt;=50 m easement - Inspect only (Pasture)</t>
  </si>
  <si>
    <t>#6.96</t>
  </si>
  <si>
    <t>Grade and seed &gt;50 and &lt;=60 m easement - Inspect only (Pasture)</t>
  </si>
  <si>
    <t>#6.97</t>
  </si>
  <si>
    <t>Grade and seed &gt;60 and &lt;=80 m easement - Inspect only (Pasture)</t>
  </si>
  <si>
    <t>#6.98</t>
  </si>
  <si>
    <t>Grade and seed &gt;100 m easement - Inspect only (Pasture)</t>
  </si>
  <si>
    <t>#6.99</t>
  </si>
  <si>
    <t>Grade and seed user entered easement width -  inspection only (native)</t>
  </si>
  <si>
    <t xml:space="preserve">Inspection and minor re-seeding of 25% of total length with native species.
</t>
  </si>
  <si>
    <t>#6.100</t>
  </si>
  <si>
    <t>Grade and seed &lt;=6 m easement - Inspect only (Native)</t>
  </si>
  <si>
    <t>#6.101</t>
  </si>
  <si>
    <t>Grade and seed &gt;6 and &lt;=12 m easement - Inspect only (Native)</t>
  </si>
  <si>
    <t>#6.102</t>
  </si>
  <si>
    <t>Grade and seed &gt;12 and &lt;=15 m easement - Inspect only (Native)</t>
  </si>
  <si>
    <t>#6.103</t>
  </si>
  <si>
    <t>Grade and seed &gt;15 and &lt;=20 m easement - Inspect only (Native)</t>
  </si>
  <si>
    <t>#6.104</t>
  </si>
  <si>
    <t>Grade and seed &gt;20 and &lt;=25 m easement - Inspect only (Native)</t>
  </si>
  <si>
    <t>#6.105</t>
  </si>
  <si>
    <t>Grade and seed &gt;25 and &lt;=30 m easement - Inspect only (Native)</t>
  </si>
  <si>
    <t>#6.106</t>
  </si>
  <si>
    <t>Grade and seed &gt;30 and &lt;=35 m easement - Inspect only (Native)</t>
  </si>
  <si>
    <t>#6.107</t>
  </si>
  <si>
    <t>Grade and seed &gt;35 and &lt;=40 m easement - Inspect only (Native)</t>
  </si>
  <si>
    <t>#6.108</t>
  </si>
  <si>
    <t>Grade and seed &gt;40 and &lt;=50 m easement - Inspect only (Native)</t>
  </si>
  <si>
    <t>#6.109</t>
  </si>
  <si>
    <t>Grade and seed &gt;50 and &lt;=60 m easement - Inspect only (Native)</t>
  </si>
  <si>
    <t>#6.110</t>
  </si>
  <si>
    <t>Grade and seed &gt;60 and &lt;=80 m easement - Inspect only (Native)</t>
  </si>
  <si>
    <t>#6.111</t>
  </si>
  <si>
    <t>Grade and seed &gt;100 m easement - Inspect only (Native)</t>
  </si>
  <si>
    <t>#6.112</t>
  </si>
  <si>
    <t>Grade and seed &lt;=6 m easement - Inspect only (arid)</t>
  </si>
  <si>
    <t>#6.113</t>
  </si>
  <si>
    <t>Grade and seed &gt;6 and &lt;=12 m easement - Inspect only (arid)</t>
  </si>
  <si>
    <t>#6.114</t>
  </si>
  <si>
    <t>Grade and seed &gt;12 and &lt;=15 m easement - Inspect only (arid)</t>
  </si>
  <si>
    <t>#6.115</t>
  </si>
  <si>
    <t>Grade and seed &gt;15 and &lt;=20 m easement - Inspect only (arid)</t>
  </si>
  <si>
    <t>#6.116</t>
  </si>
  <si>
    <t>Grade and seed &gt;20 and &lt;=25 m easement - Inspect only (arid)</t>
  </si>
  <si>
    <t>#6.117</t>
  </si>
  <si>
    <t>Grade and seed &gt;25 and &lt;=30 m easement - Inspect only (arid)</t>
  </si>
  <si>
    <t>#6.118</t>
  </si>
  <si>
    <t>Grade and seed &gt;30 and &lt;=35 m easement - Inspect only (arid)</t>
  </si>
  <si>
    <t>#6.119</t>
  </si>
  <si>
    <t>Grade and seed &gt;35 and &lt;=40 m easement - Inspect only (arid)</t>
  </si>
  <si>
    <t>#6.120</t>
  </si>
  <si>
    <t>Grade and seed &gt;40 and &lt;=50 m easement - Inspect only (arid)</t>
  </si>
  <si>
    <t>#6.121</t>
  </si>
  <si>
    <t>Grade and seed &gt;50 and &lt;=60 m easement - Inspect only (arid)</t>
  </si>
  <si>
    <t>#6.122</t>
  </si>
  <si>
    <t>Grade and seed &gt;60 and &lt;=80 m easement - Inspect only (arid)</t>
  </si>
  <si>
    <t>#6.123</t>
  </si>
  <si>
    <t>Grade and seed &gt;100 m easement - Inspect only (arid)</t>
  </si>
  <si>
    <t>#6.124</t>
  </si>
  <si>
    <t>Road crossings (0.5 m diameter or less pipe)</t>
  </si>
  <si>
    <t>crossing</t>
  </si>
  <si>
    <t>Enter number of crossings</t>
  </si>
  <si>
    <t xml:space="preserve">Excavate to pipe at both ends, cut pipe, slurry full, cap, backfill, grade and seed. Equipment includes 4WD backhoe, gas axe, concrete pump.  Labour includes backhoe operator, mechanical labour, dogman. Allowance for mobilisation and moving between locations. Assumes 2 crossings can be completed per day. Smaller diameter pipe.  20 m crossing length.
</t>
  </si>
  <si>
    <t>#6.125</t>
  </si>
  <si>
    <t>Road crossings (&gt; 0.5 m diameter pipe)</t>
  </si>
  <si>
    <t xml:space="preserve">Excavate to pipe at both ends, cut pipe, slurry full, cap, backfill, grade and seed. Equipment includes 4WD backhoe, gas axe, concrete pump. Labour includes backhoe operator, mechanical labour, dogman.  Allowance for mobilisation and moving between locations. Assumes 2 crossings can be completed per day. Larger diameter pipe.   20 m crossing length.
</t>
  </si>
  <si>
    <t>#6.126</t>
  </si>
  <si>
    <t>Rail crossings (0.5 m diameter or less pipe)</t>
  </si>
  <si>
    <t xml:space="preserve">Excavate to pipe at both ends, cut pipe, slurry full, cap, backfill, grade and seed. Equipment includes 4WD backhoe, gas axe, concrete pump. Labour includes backhoe operator, mechanical labour, dogman. Allowance for mobilisation and moving between locations. Assumes 2 crossings can be completed per day. Smaller diameter pipe.  20 m crossing length.
</t>
  </si>
  <si>
    <t>#6.127</t>
  </si>
  <si>
    <t>Rail crossings (&gt; 0.5 m diameter pipe)</t>
  </si>
  <si>
    <t xml:space="preserve">Excavate to pipe at both ends, cut pipe, slurry full, cap, backfill, grade and seed.  Equipment includes 4WD backhoe, gas axe, concrete pump.  Labour includes backhoe operator, mechanical labour, dogman.  Allowance for mobilisation and moving between locations.  Assumes 2 crossings can be completed per day.  Larger diameter pipe.   20 m crossing length.
</t>
  </si>
  <si>
    <t>#6.128</t>
  </si>
  <si>
    <t>Creek / river crossings (0.5 m diameter or less pipe)</t>
  </si>
  <si>
    <t xml:space="preserve">Excavate to pipe at both ends, cut pipe, slurry full, cap, backfill, grade and seed. Equipment includes 4WD backhoe, gas axe, concrete pump. Labour includes backhoe operator, mechanical labour, dogman. Allowance for mobilisation and moving between locations. Assumes 1 crossings can be completed per day.  Smaller diameter pipe.  50 m crossing length.
</t>
  </si>
  <si>
    <t>#6.129</t>
  </si>
  <si>
    <t>Creek / river crossings (&gt; 0.5 m diameter pipe)</t>
  </si>
  <si>
    <t xml:space="preserve">Excavate to pipe at both ends, cut pipe, slurry full, cap, backfill, grade and seed. Equipment includes 4WD backhoe, gas axe, concrete pump. Labour includes backhoe operator, mechanical labour, dogman. Allowance for mobilisation and moving between locations. Assumes 1 crossings can be completed per day.  Larger diameter pipe.   50 m crossing length.
</t>
  </si>
  <si>
    <t>#6.130</t>
  </si>
  <si>
    <t>Enter number of facilities</t>
  </si>
  <si>
    <t xml:space="preserve">
Electrical and mechanical disconnection of modules / skids, lifting with crane, transport to storage area at distance shown in Assumptions.
</t>
  </si>
  <si>
    <t>#6.131</t>
  </si>
  <si>
    <t>#6.132</t>
  </si>
  <si>
    <t>#6.133</t>
  </si>
  <si>
    <t>#6.134</t>
  </si>
  <si>
    <t>#6.135</t>
  </si>
  <si>
    <t>Low Point Drains and High Point Vents (major pipe lines)</t>
  </si>
  <si>
    <t>Enter number of points</t>
  </si>
  <si>
    <t>#6.136</t>
  </si>
  <si>
    <t>Low Point Drains (gathering lines)</t>
  </si>
  <si>
    <t>#6.137</t>
  </si>
  <si>
    <t>Excavation to connection point / tank. Lift to truck and transport at distance shown in User Rates and Distances sheet</t>
  </si>
  <si>
    <t>#6.138</t>
  </si>
  <si>
    <t>7. Gas Processing and Oil Storage Facilities</t>
  </si>
  <si>
    <t>Gas processing facilities from User Build</t>
  </si>
  <si>
    <t>total</t>
  </si>
  <si>
    <t>Gas processing facilities from Input Sheet</t>
  </si>
  <si>
    <t>Inputs are from User Build sheet</t>
  </si>
  <si>
    <t>#7.01</t>
  </si>
  <si>
    <t>Gas processing facility of user entered TJ/day</t>
  </si>
  <si>
    <t xml:space="preserve">Enter number and capacity of plant.  The minimum is 15 TJ/day and the maximum is 1000 TJ/day.
</t>
  </si>
  <si>
    <t xml:space="preserve">
Includes purging of vapours and removal and disposal of liquids, electrical and mechanical disconnection / cutting of process modules, skids and buildings, lifting and transport of process modules / portable buildings to a storage location, demolition of on-site constructed buildings and transport refuse for disposal, disconnection / demolition / cutting of process piping and electrical cable tray between process modules, skids and buildings and transport for disposal, demolition / rip-up and transport for disposal of concrete and asphalt hardstand, excavate and transport to re-use site of gravel, contaminated land investigation (using TOV rates), grade and seed of entire footprint (using TOV rates) and removal of security fencing.
</t>
  </si>
  <si>
    <t>#7.02</t>
  </si>
  <si>
    <t xml:space="preserve">Minor purging, electrical and mechanical disconnection, lifting and transport to a storage location.
</t>
  </si>
  <si>
    <t>#7.03</t>
  </si>
  <si>
    <t xml:space="preserve">
Includes purging of vapours and removal and disposal of liquids, electrical and mechanical disconnection / cutting of process modules, skids and buildings, lifting and transport of process modules / portable buildings to a storage location, demolition of on-site constructed buildings and transport refuse for disposal, disconnection / demolition / cutting of process piping and electrical cable tray between process modules, skids and buildings and transport for disposal, demolition / rip-up and transport for disposal of concrete and asphalt hardstand, excavate and transport to re-use site of gravel, contaminated land investigation (using TOV rates), and removal of security fencing. Grade and seed area comes from same input sheet and is reported in rates below.
</t>
  </si>
  <si>
    <t>#7.04</t>
  </si>
  <si>
    <t>#7.05</t>
  </si>
  <si>
    <t>#7.06</t>
  </si>
  <si>
    <t>#7.07</t>
  </si>
  <si>
    <t>#7.08</t>
  </si>
  <si>
    <t>#7.09</t>
  </si>
  <si>
    <t>#7.10</t>
  </si>
  <si>
    <t>#7.11</t>
  </si>
  <si>
    <t>#7.12</t>
  </si>
  <si>
    <t>#7.13</t>
  </si>
  <si>
    <t>Conventional gas facilities from User build</t>
  </si>
  <si>
    <t>Conventional gas plant user entry</t>
  </si>
  <si>
    <t xml:space="preserve">Enter number and capacity of plant.  The minimum is 1 TJ/day and the maximum is 50 TJ/day.
</t>
  </si>
  <si>
    <t>As below</t>
  </si>
  <si>
    <t>Conventional gas plants from Input Sheet</t>
  </si>
  <si>
    <t>#7.14</t>
  </si>
  <si>
    <t xml:space="preserve">
Purging of vapours and removal and disposal of liquids, electrical and mechanical disconnection / cutting of process modules, skids and buildings, lifting and transport of process modules / portable buildings to a storage location, demolition of on-site constructed buildings and transport refuse for disposal, disconnection / demolition / cutting of process piping and electrical cable tray between process modules, skids and buildings and transport for disposal, demolition / rip-up and transport for disposal of concrete and asphalt hardstand, excavate and transport to re-use site of gravel, contaminated land investigation (using TOV rates), and removal of security fencing. Grade and seed.
</t>
  </si>
  <si>
    <t>#7.15</t>
  </si>
  <si>
    <t>#7.16</t>
  </si>
  <si>
    <t>#7.17</t>
  </si>
  <si>
    <t>#7.18</t>
  </si>
  <si>
    <t>#7.19</t>
  </si>
  <si>
    <t>#7.20</t>
  </si>
  <si>
    <t>Conventional oil facilities from User build</t>
  </si>
  <si>
    <t xml:space="preserve">Inputs are from Process facilities Input sheet
</t>
  </si>
  <si>
    <t xml:space="preserve">
Removal and disposal of liquids, electrical and mechanical disconnection of bulk tanks and pumps, shearing tank steel and transport for disposal cutting of bulk tanks, lift and transport skids to storage. Lift and transport portable buildings to a storage location, demolition of on-site constructed buildings and transport refuse for disposal. Disconnection / demolition / cutting of  piping and electrical cable tray between process tanks. Demolition / rip-up and transport for disposal of concrete and asphalt hardstand, excavate and transport to re-use site of gravel, contaminated land investigation (using TOV rates), and removal of security fencing. Grade and seed area comes from same input sheet and is reported in rates below.
</t>
  </si>
  <si>
    <t>Conventional oil facilities from Input Sheet</t>
  </si>
  <si>
    <t>#7.21</t>
  </si>
  <si>
    <t xml:space="preserve">
Removal and disposal of liquids, electrical and mechanical disconnection of bulk tanks and pumps, shearing tank steel and transport for disposal cutting of bulk tanks, lift and transport skids to storage. Lift and transport portable buildings to a storage location, demolition of on-site constructed buildings and transport refuse for disposal. Disconnection / demolition / cutting of  piping and electrical cable tray between process tanks. Demolition / rip-up and transport for disposal of concrete and asphalt hardstand, excavate and transport to re-use site of gravel, contaminated land investigation (using TOV rates), and removal of security fencing. Grade and seed.
</t>
  </si>
  <si>
    <t>#7.22</t>
  </si>
  <si>
    <t>#7.23</t>
  </si>
  <si>
    <t>#7.24</t>
  </si>
  <si>
    <t>#7.25</t>
  </si>
  <si>
    <t>#7.26</t>
  </si>
  <si>
    <t>#7.27</t>
  </si>
  <si>
    <t>#7.28</t>
  </si>
  <si>
    <t>LPG facilities from User build</t>
  </si>
  <si>
    <t>LPG facilities from Input Sheet</t>
  </si>
  <si>
    <t>#7.29</t>
  </si>
  <si>
    <t>#7.30</t>
  </si>
  <si>
    <t>#7.31</t>
  </si>
  <si>
    <t>#7.32</t>
  </si>
  <si>
    <t>8. LNG Plants</t>
  </si>
  <si>
    <t>#8.01</t>
  </si>
  <si>
    <t>plant</t>
  </si>
  <si>
    <t xml:space="preserve">
Electrical and mechanical disconnection of modules, skids, structures and buildings; demolition of LNG tanks, cut-up steel and transport off island; demolish and crush concrete and use as hardstand; cut up pipe and tray, electrical cable and tray and transport off-island. Allows for ancillary equipment including communications tower, refuelling facilities and fire water tanks. Does not include mobilisation / demobilisation of major earthmoving equipment (select rate from TOV#13 series).
</t>
  </si>
  <si>
    <t>#8.02</t>
  </si>
  <si>
    <t>#8.03</t>
  </si>
  <si>
    <t>#8.04</t>
  </si>
  <si>
    <t>LNG Plant from user Build</t>
  </si>
  <si>
    <t xml:space="preserve">
Scope defined by User build. The User Build does not have a defined item for mobilisation / demobilisation of major earthmoving equipment so the User must either select rate from TOV#13 series, add an alternate rate with justification to the TOV#13 section or add a rate to the User entered items in the User Build.
</t>
  </si>
  <si>
    <t>#8.05</t>
  </si>
  <si>
    <t>User to enter description of scope and define units</t>
  </si>
  <si>
    <t>#8.06</t>
  </si>
  <si>
    <t>#8.07</t>
  </si>
  <si>
    <t>9. Water Treatment Plants and Transfer Stations</t>
  </si>
  <si>
    <t>Water treatment plant user entered ML/day</t>
  </si>
  <si>
    <t xml:space="preserve">Enter number and capacity of plant.  The minimum is 1 ML/day and the maximum is 40 TJ/day and can only be used for systems without brine concentrators and crystallisers.
</t>
  </si>
  <si>
    <t xml:space="preserve">
Includes electrical and mechanical disconnection / cutting of process modules, skids and buildings, lifting and transport of process modules / portable buildings to a storage location, demolition of on-site constructed buildings and transport refuse for disposal, disconnection / demolition / cutting of process piping and electrical cable tray between process modules, skids and buildings and transport for disposal, demolition / rip-up and transport for disposal of concrete and asphalt hardstand, excavate and transport to re-use site of gravel, contaminated land investigation (using TOV rates), grade and seed of entire footprint (using TOV rates) and removal of security fencing.
</t>
  </si>
  <si>
    <t>Water treatment plant from Input Sheet</t>
  </si>
  <si>
    <t>#9.01</t>
  </si>
  <si>
    <t>Enter capacity and number of facilities</t>
  </si>
  <si>
    <t>#9.02</t>
  </si>
  <si>
    <t>#9.03</t>
  </si>
  <si>
    <t>#9.04</t>
  </si>
  <si>
    <t>#9.05</t>
  </si>
  <si>
    <t>#9.06</t>
  </si>
  <si>
    <t>#9.07</t>
  </si>
  <si>
    <t>#9.08</t>
  </si>
  <si>
    <t>Water transfer stations - user build</t>
  </si>
  <si>
    <t xml:space="preserve">
Disconnect and remove tanks, piping and pumps.  Grade and seed.
</t>
  </si>
  <si>
    <t>Water Transfer Station from Input Sheet</t>
  </si>
  <si>
    <t>#9.09</t>
  </si>
  <si>
    <t>Water transfer stations (small)</t>
  </si>
  <si>
    <t>#9.10</t>
  </si>
  <si>
    <t>Water transfer stations (medium)</t>
  </si>
  <si>
    <t>#9.11</t>
  </si>
  <si>
    <t>Water transfer stations (large)</t>
  </si>
  <si>
    <t>#9.12</t>
  </si>
  <si>
    <t>area</t>
  </si>
  <si>
    <t xml:space="preserve">Enter number of areas that will require a mobilisation. Typically 1 per submission if water treatment is required.
</t>
  </si>
  <si>
    <t>Float to and from site</t>
  </si>
  <si>
    <t>#9.13</t>
  </si>
  <si>
    <t>Enter volume to be treated</t>
  </si>
  <si>
    <t>Neutralisers</t>
  </si>
  <si>
    <t>#9.14</t>
  </si>
  <si>
    <t xml:space="preserve">Cost to operate the water treatment plant and includes electricity and electrical and mechanical labour to attend to plant.
</t>
  </si>
  <si>
    <t>#9.15</t>
  </si>
  <si>
    <t xml:space="preserve">Oil water separator and activate carbon units including supply and dispose carbon.
</t>
  </si>
  <si>
    <t>#9.16</t>
  </si>
  <si>
    <t>Salt Disposal - Loading and Haul</t>
  </si>
  <si>
    <t xml:space="preserve">Enter mass of salt remaining after water removal.
</t>
  </si>
  <si>
    <t xml:space="preserve">
930K CAT loader, travel speed 7.5 km/h, 0.5 km travel distance, 4.2 m3 bucket resulting in production rate of 41 t/h. Transport in Quad truck (capacity shown in Assumptions), average travel speed 65 km/h. Haul distance as shown in Assumptions.
</t>
  </si>
  <si>
    <t>#9.17</t>
  </si>
  <si>
    <t>Salt Disposal - Gate Fee</t>
  </si>
  <si>
    <t>Automatically entered from above.</t>
  </si>
  <si>
    <t>Ipswich facility</t>
  </si>
  <si>
    <t>#9.18</t>
  </si>
  <si>
    <t>Enter the volume of water that is required to be pumped/transferred on site.</t>
  </si>
  <si>
    <t xml:space="preserve">Six to eight inch pump, 50 to 100 kW, pumping 24 hours per day, rental of pump and hoses.
</t>
  </si>
  <si>
    <t>#9.19</t>
  </si>
  <si>
    <t>#9.20</t>
  </si>
  <si>
    <t>10. Water Storage Infrastructure (Dams / Ponds and Tanks)</t>
  </si>
  <si>
    <t>#10.01</t>
  </si>
  <si>
    <t>Water Storage User Defined</t>
  </si>
  <si>
    <t>From Water Storage User</t>
  </si>
  <si>
    <t>Rolled-up rates.</t>
  </si>
  <si>
    <t>#10.02</t>
  </si>
  <si>
    <t>Water Storage Input Sheet</t>
  </si>
  <si>
    <t xml:space="preserve">From Water Storage sheet
</t>
  </si>
  <si>
    <t xml:space="preserve">
Removal and disposal of sludge (see Assumptions for thickness) and liner, earthworks to fill dams in using soil in berms, grade and seed. Land investigation included. Residual water and salt management not included and must be included separately if present.
</t>
  </si>
  <si>
    <t>#10.03</t>
  </si>
  <si>
    <t xml:space="preserve">Enter number of dams in the category.  
</t>
  </si>
  <si>
    <t xml:space="preserve">
Removal and disposal of sludge (see Assumptions for thickness) and liner, earthworks to fill dams in using soil in berms, place growth media, grade and seed with pasture species. Land investigation included. Residual water and salt management not included and must be included separately if present.
</t>
  </si>
  <si>
    <t>#10.04</t>
  </si>
  <si>
    <t>#10.05</t>
  </si>
  <si>
    <t>#10.06</t>
  </si>
  <si>
    <t>#10.07</t>
  </si>
  <si>
    <t>#10.08</t>
  </si>
  <si>
    <t>#10.09</t>
  </si>
  <si>
    <t>#10.10</t>
  </si>
  <si>
    <t>#10.11</t>
  </si>
  <si>
    <t>#10.12</t>
  </si>
  <si>
    <t>#10.13</t>
  </si>
  <si>
    <t>#10.14</t>
  </si>
  <si>
    <t>#10.15</t>
  </si>
  <si>
    <t>#10.16</t>
  </si>
  <si>
    <t>#10.17</t>
  </si>
  <si>
    <t>#10.18</t>
  </si>
  <si>
    <t xml:space="preserve">
Removal and disposal of sludge (see Assumptions for thickness) and liner, earthworks to fill dams in using soil in berms, place growth media, grade and seed with native species. Land investigation included. Residual water and salt management not included and must be included separately if present.
</t>
  </si>
  <si>
    <t>#10.19</t>
  </si>
  <si>
    <t>#10.20</t>
  </si>
  <si>
    <t>#10.21</t>
  </si>
  <si>
    <t>#10.22</t>
  </si>
  <si>
    <t>#10.23</t>
  </si>
  <si>
    <t>#10.24</t>
  </si>
  <si>
    <t>#10.25</t>
  </si>
  <si>
    <t>#10.26</t>
  </si>
  <si>
    <t>#10.27</t>
  </si>
  <si>
    <t>#10.28</t>
  </si>
  <si>
    <t>#10.29</t>
  </si>
  <si>
    <t>#10.30</t>
  </si>
  <si>
    <t>#10.31</t>
  </si>
  <si>
    <t>#10.32</t>
  </si>
  <si>
    <t>#10.33</t>
  </si>
  <si>
    <t xml:space="preserve">
Removal and disposal of sludge (see Assumptions for thickness) and liner, earthworks to fill dams in using soil in berms, no growth media or seed as in desert. Land investigation included. Residual water and salt management not included and must be included separately if present.
</t>
  </si>
  <si>
    <t>#10.34</t>
  </si>
  <si>
    <t>#10.35</t>
  </si>
  <si>
    <t>#10.36</t>
  </si>
  <si>
    <t>#10.37</t>
  </si>
  <si>
    <t>#10.38</t>
  </si>
  <si>
    <t>#10.39</t>
  </si>
  <si>
    <t>#10.40</t>
  </si>
  <si>
    <t>#10.41</t>
  </si>
  <si>
    <t>#10.42</t>
  </si>
  <si>
    <t>#10.43</t>
  </si>
  <si>
    <t>#10.44</t>
  </si>
  <si>
    <t>#10.45</t>
  </si>
  <si>
    <t>#10.46</t>
  </si>
  <si>
    <t>#10.47</t>
  </si>
  <si>
    <t xml:space="preserve">
Removal and disposal of sediment (see Assumptions for thickness) and liner, earthworks to fill dams in using soil in berms, place growth media, grade and seed with pasture species. Land investigation included. Residual water and salt management not included and must be included separately if present.
</t>
  </si>
  <si>
    <t>#10.48</t>
  </si>
  <si>
    <t>#10.49</t>
  </si>
  <si>
    <t>#10.50</t>
  </si>
  <si>
    <t>#10.51</t>
  </si>
  <si>
    <t>#10.52</t>
  </si>
  <si>
    <t>#10.53</t>
  </si>
  <si>
    <t>#10.54</t>
  </si>
  <si>
    <t>#10.55</t>
  </si>
  <si>
    <t>#10.56</t>
  </si>
  <si>
    <t>#10.57</t>
  </si>
  <si>
    <t>#10.58</t>
  </si>
  <si>
    <t>#10.59</t>
  </si>
  <si>
    <t>#10.60</t>
  </si>
  <si>
    <t>#10.61</t>
  </si>
  <si>
    <t>#10.62</t>
  </si>
  <si>
    <t xml:space="preserve">
Removal and disposal of sediment (see Assumptions for thickness) and liner, earthworks to fill dams in using soil in berms, place growth media, grade and seed with native species. Land investigation included. Residual water and salt management not included and must be included separately if present.
</t>
  </si>
  <si>
    <t>#10.63</t>
  </si>
  <si>
    <t>#10.64</t>
  </si>
  <si>
    <t>#10.65</t>
  </si>
  <si>
    <t>#10.66</t>
  </si>
  <si>
    <t>#10.67</t>
  </si>
  <si>
    <t>#10.68</t>
  </si>
  <si>
    <t>#10.69</t>
  </si>
  <si>
    <t>#10.70</t>
  </si>
  <si>
    <t>#10.71</t>
  </si>
  <si>
    <t>#10.72</t>
  </si>
  <si>
    <t>#10.73</t>
  </si>
  <si>
    <t>#10.74</t>
  </si>
  <si>
    <t>#10.75</t>
  </si>
  <si>
    <t>#10.76</t>
  </si>
  <si>
    <t xml:space="preserve">
Removal and disposal of sediment (see Assumptions for thickness) and liner, earthworks to fill dams in using soil in berms, no growth media or seed as in desert. Land investigation included. Residual water and salt management not included and must be included separately if present.
</t>
  </si>
  <si>
    <t>#10.77</t>
  </si>
  <si>
    <t>#10.78</t>
  </si>
  <si>
    <t>#10.79</t>
  </si>
  <si>
    <t>#10.80</t>
  </si>
  <si>
    <t>#10.81</t>
  </si>
  <si>
    <t>#10.82</t>
  </si>
  <si>
    <t>#10.83</t>
  </si>
  <si>
    <t>#10.84</t>
  </si>
  <si>
    <t>#10.85</t>
  </si>
  <si>
    <t>#10.86</t>
  </si>
  <si>
    <t>#10.87</t>
  </si>
  <si>
    <t>#10.88</t>
  </si>
  <si>
    <t>#10.89</t>
  </si>
  <si>
    <t>#10.90</t>
  </si>
  <si>
    <t>#10.91</t>
  </si>
  <si>
    <t xml:space="preserve">
Removal of sediment (see Assumptions for thickness), earthworks to fill dams in using soil in berms, place growth media, grade and seed with pasture species. Land investigation included. Residual water and salt management not included and must be included separately if present.
</t>
  </si>
  <si>
    <t>#10.92</t>
  </si>
  <si>
    <t>#10.93</t>
  </si>
  <si>
    <t>#10.94</t>
  </si>
  <si>
    <t>#10.95</t>
  </si>
  <si>
    <t>#10.96</t>
  </si>
  <si>
    <t>#10.97</t>
  </si>
  <si>
    <t>#10.98</t>
  </si>
  <si>
    <t>#10.99</t>
  </si>
  <si>
    <t>#10.100</t>
  </si>
  <si>
    <t>#10.101</t>
  </si>
  <si>
    <t>#10.102</t>
  </si>
  <si>
    <t>#10.103</t>
  </si>
  <si>
    <t>#10.104</t>
  </si>
  <si>
    <t>#10.105</t>
  </si>
  <si>
    <t>#10.106</t>
  </si>
  <si>
    <t xml:space="preserve">
Removal of sediment (see Assumptions for thickness), earthworks to fill dams in using soil in berms, place growth media, grade and seed with native species. Land investigation included. Residual water and salt management not included and must be included separately if present.
</t>
  </si>
  <si>
    <t>#10.107</t>
  </si>
  <si>
    <t>#10.108</t>
  </si>
  <si>
    <t>#10.109</t>
  </si>
  <si>
    <t>#10.110</t>
  </si>
  <si>
    <t>#10.111</t>
  </si>
  <si>
    <t>#10.112</t>
  </si>
  <si>
    <t>#10.113</t>
  </si>
  <si>
    <t>#10.114</t>
  </si>
  <si>
    <t>#10.115</t>
  </si>
  <si>
    <t>#10.116</t>
  </si>
  <si>
    <t>#10.117</t>
  </si>
  <si>
    <t>#10.118</t>
  </si>
  <si>
    <t>#10.119</t>
  </si>
  <si>
    <t>#10.120</t>
  </si>
  <si>
    <t>#10.121</t>
  </si>
  <si>
    <t xml:space="preserve">
Removal of sediment (see Assumptions for thickness), earthworks to fill dams in using soil in berms. No growth media or grade and seed as in desert. Land investigation included. Residual water and salt management not included and must be included separately if present.
</t>
  </si>
  <si>
    <t>#10.122</t>
  </si>
  <si>
    <t>#10.123</t>
  </si>
  <si>
    <t>#10.124</t>
  </si>
  <si>
    <t>#10.125</t>
  </si>
  <si>
    <t>#10.126</t>
  </si>
  <si>
    <t>#10.127</t>
  </si>
  <si>
    <t>#10.128</t>
  </si>
  <si>
    <t>#10.129</t>
  </si>
  <si>
    <t>#10.130</t>
  </si>
  <si>
    <t>#10.131</t>
  </si>
  <si>
    <t>#10.132</t>
  </si>
  <si>
    <t>#10.133</t>
  </si>
  <si>
    <t>#10.134</t>
  </si>
  <si>
    <t>#10.135</t>
  </si>
  <si>
    <t>#10.136</t>
  </si>
  <si>
    <t xml:space="preserve">Enter total crest area of dams in the category.  
</t>
  </si>
  <si>
    <t>#10.137</t>
  </si>
  <si>
    <t>#10.138</t>
  </si>
  <si>
    <t>#10.139</t>
  </si>
  <si>
    <t xml:space="preserve">
Removal and disposal of sludge (see Assumptions for thickness), earthworks to fill dams in using soil in berms, place growth media, grade and seed with pasture species. Land investigation included. Residual water and salt management not included and must be included separately if present.
</t>
  </si>
  <si>
    <t>#10.140</t>
  </si>
  <si>
    <t xml:space="preserve">
Removal and disposal of sludge (see Assumptions for thickness), earthworks to fill dams in using soil in berms, place growth media, grade and seed with native species. Land investigation included. Residual water and salt management not included and must be included separately if present.
</t>
  </si>
  <si>
    <t>#10.141</t>
  </si>
  <si>
    <t xml:space="preserve">
Removal and disposal of sludge (see Assumptions for thickness), earthworks to fill dams in using soil in berms, no growth media or seed as in desert. Land investigation included. Residual water and salt management not included and must be included separately if present.
</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</si>
  <si>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</si>
  <si>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</si>
  <si>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</si>
  <si>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</si>
  <si>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</si>
  <si>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</si>
  <si>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</si>
  <si>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</si>
  <si>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</si>
  <si>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</si>
  <si>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</si>
  <si>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</si>
  <si>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</si>
  <si>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</si>
  <si>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</si>
  <si>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</si>
  <si>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</si>
  <si>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</si>
  <si>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</si>
  <si>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</si>
  <si>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</si>
  <si>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</si>
  <si>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</si>
  <si>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</si>
  <si>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</si>
  <si>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</si>
  <si>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</si>
  <si>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</si>
  <si>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</si>
  <si>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</si>
  <si>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</si>
  <si>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</si>
  <si>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</si>
  <si>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</si>
  <si>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</si>
  <si>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</si>
  <si>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</si>
  <si>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</si>
  <si>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</si>
  <si>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</si>
  <si>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</si>
  <si>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</si>
  <si>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Enter number of tanks</t>
  </si>
  <si>
    <t xml:space="preserve">Electrical and mechanical disconnection of tanks and pumps, cut-up tank steel and piping. Transport of waste to disposal facility.  Grade and seed.
</t>
  </si>
  <si>
    <t xml:space="preserve">Electrical and mechanical disconnection of tanks and pumps, cut-up of liner and piping.  Transport of waste to disposal facility.  Grade and seed.
</t>
  </si>
  <si>
    <t>#10.184</t>
  </si>
  <si>
    <t>#10.185</t>
  </si>
  <si>
    <t>#10.186</t>
  </si>
  <si>
    <t>#10.187</t>
  </si>
  <si>
    <t>#10.188</t>
  </si>
  <si>
    <t>#10.189</t>
  </si>
  <si>
    <t>#10.190</t>
  </si>
  <si>
    <t xml:space="preserve">Subtotal </t>
  </si>
  <si>
    <t>11. General Land Rehabilitation</t>
  </si>
  <si>
    <t>#11.01</t>
  </si>
  <si>
    <t xml:space="preserve">
Enter areas that have been rehabilitated and need maintaining (i.e., where revegetation was unsuccessful) whether previously disturbed or proposed to be disturbed and rehabilitated within the ERC period.
</t>
  </si>
  <si>
    <t>General maintenance - weed management, re-seeding, amelioration, minor rehabilitation repair.</t>
  </si>
  <si>
    <t>#11.02</t>
  </si>
  <si>
    <t>Enter total area requiring minor repairs.</t>
  </si>
  <si>
    <t>D10 doze, shape and rip</t>
  </si>
  <si>
    <t>#11.03</t>
  </si>
  <si>
    <t xml:space="preserve">
Enter total area of land requiring minor earthworks. Applicable only to land experiencing surface expression of subsidence effects (e.g. cracking, sink holes) where remedial works have not be successful.
</t>
  </si>
  <si>
    <t>#11.04</t>
  </si>
  <si>
    <t>Enter total area requiring major repairs.</t>
  </si>
  <si>
    <t>#11.05</t>
  </si>
  <si>
    <t xml:space="preserve">
Enter only specific area of landform requiring re-construction following failure of intended design.
</t>
  </si>
  <si>
    <t>Dozing and shaping with D10, suitable repair material haulage and place, growth media, and reseeding</t>
  </si>
  <si>
    <t>#11.06</t>
  </si>
  <si>
    <t xml:space="preserve">Enter area of footprint area to be rehabilitated. </t>
  </si>
  <si>
    <t xml:space="preserve">Doze and shape to re-establish natural drainage over footprint, source, haul, place and spread growth media, rip and native seed. CAT D10 dozer.
</t>
  </si>
  <si>
    <t>#11.07</t>
  </si>
  <si>
    <t>Enter area requiring land management.</t>
  </si>
  <si>
    <t xml:space="preserve">
General maintenance - weed management, seeding, amelioration, minor land repair.
</t>
  </si>
  <si>
    <t>#11.08</t>
  </si>
  <si>
    <t>Enter area of land requiring pest management.</t>
  </si>
  <si>
    <t xml:space="preserve">Management of pests on the site including baiting feral animals.
</t>
  </si>
  <si>
    <t>#11.09</t>
  </si>
  <si>
    <t xml:space="preserve">
Enter surface area of the surface expression of chain pillars to re-establish natural drainage pathways.
</t>
  </si>
  <si>
    <t>Engineered cut-through drain (6m wide) riprap lined (100 mm thick) based on catchment size of subsidence using D10 dozer.</t>
  </si>
  <si>
    <t>#11.10</t>
  </si>
  <si>
    <t xml:space="preserve">
Enter the length requiring stabilisation of recently constructed diversions that have not been completely stabilised. 
</t>
  </si>
  <si>
    <t xml:space="preserve">Assumes a suitably qualified engineer has designed and signed off on construction of the diversion.
</t>
  </si>
  <si>
    <t>#11.11</t>
  </si>
  <si>
    <t>Enter length of channels through unconsolidated overburden requiring ongoing maintenance.</t>
  </si>
  <si>
    <t xml:space="preserve">Earthworks repairs and stabilisation following flow events. Assumes a suitably qualified engineer has designed and signed off on construction of the diversion. Assumes maintenance has been kept up and significant works are not required.
</t>
  </si>
  <si>
    <t>#11.12</t>
  </si>
  <si>
    <t>Enter length of channels through competent ground requiring ongoing maintenance.</t>
  </si>
  <si>
    <t>#11.13</t>
  </si>
  <si>
    <t xml:space="preserve">Enter area of diversions requiring rock armouring to ensure long term stability.
</t>
  </si>
  <si>
    <t>Assumes competent material is locally available.</t>
  </si>
  <si>
    <t>#11.14</t>
  </si>
  <si>
    <t xml:space="preserve">
Enter area requiring deep ripping to enhance revegetation program. This rate is used in isolation for miscellaneous areas that are not covered under other domains. If this activity is required under another domain (e.g. for a laydown area) the costs are included in that domain, i.e. no need to add again here.
</t>
  </si>
  <si>
    <t>Ripping with D6 dozer to enhance revegetation.</t>
  </si>
  <si>
    <t>#11.15</t>
  </si>
  <si>
    <t>Ripping with D7 dozer to enhance revegetation.</t>
  </si>
  <si>
    <t>#11.16</t>
  </si>
  <si>
    <t>Ripping with D8 dozer to enhance revegetation.</t>
  </si>
  <si>
    <t>#11.17</t>
  </si>
  <si>
    <t>Ripping with D9 dozer to enhance revegetation.</t>
  </si>
  <si>
    <t>#11.18</t>
  </si>
  <si>
    <t>Ripping with D10 dozer to enhance revegetation.</t>
  </si>
  <si>
    <t>#11.19</t>
  </si>
  <si>
    <t>Ripping with D11 dozer to enhance revegetation.</t>
  </si>
  <si>
    <t>#11.20</t>
  </si>
  <si>
    <t xml:space="preserve">
Enter area requiring minor reshaping, and ripping to enhance revegetation program. This rate is used in isolation for miscellaneous areas that are not covered under other domains. If this activity is required under another domain (e.g. for a laydown area) the costs are included in that domain, i.e. no need to add again here.
</t>
  </si>
  <si>
    <t>Reshaping and ripping with D6 dozer to enhance revegetation.</t>
  </si>
  <si>
    <t>#11.21</t>
  </si>
  <si>
    <t>Reshaping and ripping with D7 dozer to enhance revegetation.</t>
  </si>
  <si>
    <t>#11.22</t>
  </si>
  <si>
    <t>Reshaping and ripping with D8 dozer to enhance revegetation.</t>
  </si>
  <si>
    <t>#11.23</t>
  </si>
  <si>
    <t>Reshaping and ripping with D9 dozer to enhance revegetation.</t>
  </si>
  <si>
    <t>#11.24</t>
  </si>
  <si>
    <t xml:space="preserve">Reshaping and ripping with D10 dozer to enhance revegetation.
</t>
  </si>
  <si>
    <t>#11.25</t>
  </si>
  <si>
    <t xml:space="preserve">Reshaping and ripping with D11 dozer to enhance revegetation.
</t>
  </si>
  <si>
    <t>#11.26</t>
  </si>
  <si>
    <t>Ripping with 12M grader to enhance revegetation. Typically includes minor reshaping works to tidy up the site.</t>
  </si>
  <si>
    <t>#11.27</t>
  </si>
  <si>
    <t xml:space="preserve">
Ripping with 14M grader to enhance revegetation. Typically includes minor reshaping works to tidy up the site.
</t>
  </si>
  <si>
    <t>#11.28</t>
  </si>
  <si>
    <t xml:space="preserve">
Ripping with 16M grader to enhance revegetation. Typically includes minor reshaping works to tidy up the site.
</t>
  </si>
  <si>
    <t>#11.29</t>
  </si>
  <si>
    <t>Enter the area of land requiring amendment.</t>
  </si>
  <si>
    <t xml:space="preserve">Adding soil ameliorant prior to preparation of seed bed for rehabilitation or assist stabilising dispersive soils. See Soil Amendment table in Assumptions for application rates and assumed distance to source and Subrates for purchase costs.
</t>
  </si>
  <si>
    <t>#11.30</t>
  </si>
  <si>
    <t>Enter the area of land requiring amendment. This rate is used for areas where high sodicity soil is present which will require a higher amendment rate.</t>
  </si>
  <si>
    <t>#11.31</t>
  </si>
  <si>
    <t>Enter the area of land requiring amendment. If the User can demonstrate access to recycled gypsum this rate can be used.</t>
  </si>
  <si>
    <t>#11.32</t>
  </si>
  <si>
    <t xml:space="preserve">
Enter the area of land requiring amendment. This rate is used for areas where high sodicity soil is present which will require a higher amendment rate.  If the User can demonstrate access to recycled gypsum this rate can be used.
</t>
  </si>
  <si>
    <t>#11.33</t>
  </si>
  <si>
    <t xml:space="preserve">Adding agricultural lime to adjust soil pH. See Soil Amendment table in Assumptions for application rates and assumed distance to source and Subrates for purchase costs.
</t>
  </si>
  <si>
    <t>#11.34</t>
  </si>
  <si>
    <t xml:space="preserve">
Enter area of land to which organic material will be applied.</t>
  </si>
  <si>
    <t xml:space="preserve">Additives to improve soil biological, physical and chemical properties. See Soil Amendment table in Assumptions for application rates and assumed distance to source and Subrates for purchase costs.
</t>
  </si>
  <si>
    <t>#11.35</t>
  </si>
  <si>
    <t xml:space="preserve">Organic material added to improve physical and chemical properties. See Soil Amendment table in Assumptions for application rates and assumed distance to source and Subrates for purchase costs.
</t>
  </si>
  <si>
    <t>#11.36</t>
  </si>
  <si>
    <t xml:space="preserve">
Enter area of land requiring additional fertilising is required. This rate is used in isolation for areas not covered under other domains.
</t>
  </si>
  <si>
    <t xml:space="preserve">Addition of fertiliser to pasture land to improve soil condition. See Soil Amendment table in Assumptions for application rates and assumed distance to source and Subrates for purchase costs.
</t>
  </si>
  <si>
    <t>#11.37</t>
  </si>
  <si>
    <t>#11.38</t>
  </si>
  <si>
    <t xml:space="preserve">
Enter number of mature trees to be planted. This rate is used in isolation for re-planting areas not covered under other domains.
</t>
  </si>
  <si>
    <t>Includes the seedling, fertiliser tablet, weed mat and guard - small tube stock. Planting on 4 m centres of mature trees &gt; 15 cm.</t>
  </si>
  <si>
    <t>#11.39</t>
  </si>
  <si>
    <t>Includes the seedling, fertiliser tablet, weed mat and guard - small tube stock. Planting on 4 m centres of mature trees &lt;=15 cm.</t>
  </si>
  <si>
    <t>#11.40</t>
  </si>
  <si>
    <t xml:space="preserve">
Enter area of land for areas that require additional stabilisation and not included in other domains or rates.
</t>
  </si>
  <si>
    <t>Utilising locally sourced mulch material.</t>
  </si>
  <si>
    <t>#11.41</t>
  </si>
  <si>
    <t xml:space="preserve">
Enter area of land to be seeded with pasture species. This rate is used in isolation for miscellaneous areas that are not covered under other domains. If this activity is required under another domain (e.g. for a laydown area) the costs are included in that domain, i.e. no need to add again here.
</t>
  </si>
  <si>
    <t xml:space="preserve">Direct seeding of non native pasture grass species with the principal aim of returning the land to stable, sustainable grazing land use. Rate includes purchase of seed and fertiliser and application.
</t>
  </si>
  <si>
    <t>#11.42</t>
  </si>
  <si>
    <t xml:space="preserve">
Acquiring a diverse mix of native tree and shrub species appropriate for the area (including understorey), mixing and treating the seed (i.e. smoke and heat as required) and applying the seed at a rate between 4 - 10kg/ha (as applicable).Rate includes purchase of seed, and seedlings, and fertiliser and application. Seedling cost allows for the preparation, germination and propagation of “tube stock” seedling plants that are hand planted.
</t>
  </si>
  <si>
    <t>#11.43</t>
  </si>
  <si>
    <t xml:space="preserve">Enter number of bores to be plugged
</t>
  </si>
  <si>
    <t xml:space="preserve">
Includes 2 X labour and flatbed truck and allowance for seed.
</t>
  </si>
  <si>
    <t>#11.44</t>
  </si>
  <si>
    <t>#11.45</t>
  </si>
  <si>
    <t xml:space="preserve">Enter number of bores to backfill with cuttings
</t>
  </si>
  <si>
    <t xml:space="preserve">Includes 2 X labour, backhoe and flatbed truck and allowance for seed.
</t>
  </si>
  <si>
    <t>#11.46</t>
  </si>
  <si>
    <t>#11.47</t>
  </si>
  <si>
    <t xml:space="preserve">Enter number of bores to grout up.
</t>
  </si>
  <si>
    <t xml:space="preserve">Includes 2 X labour, backhoe and flatbed truck, grout and allowance for seed.
</t>
  </si>
  <si>
    <t>#11.48</t>
  </si>
  <si>
    <t>#11.49</t>
  </si>
  <si>
    <t>#11.50</t>
  </si>
  <si>
    <t>#11.51</t>
  </si>
  <si>
    <t>12. Investigation and Contamination</t>
  </si>
  <si>
    <t>#12.01</t>
  </si>
  <si>
    <t>Preliminary site investigation (Phase 1 Desktop study)</t>
  </si>
  <si>
    <t>each</t>
  </si>
  <si>
    <t xml:space="preserve">
Apply to a discrete area (e.g. processing area) or areas that are close together and share similar characteristics (e.g. operating history).
</t>
  </si>
  <si>
    <t>Desktop assessment of the area and site history, incidents, hazardous liquids and solids storage, sources of potential impacts and receptors.</t>
  </si>
  <si>
    <t>#12.02</t>
  </si>
  <si>
    <t>Land investigation one-off costs</t>
  </si>
  <si>
    <t xml:space="preserve">
Apply once to areas that can feasibly be investigated during one campaign.  Typically this means facilities in close proximity.
</t>
  </si>
  <si>
    <t>Includes preparation of work plan, health and safety plan, procuring equipment, reporting.</t>
  </si>
  <si>
    <t>#12.03</t>
  </si>
  <si>
    <t>Land investigation per unit area costs</t>
  </si>
  <si>
    <t xml:space="preserve">
Enter the area to be investigated (not the total facility area).
</t>
  </si>
  <si>
    <t xml:space="preserve">
Includes soil augers for two days (per hectare), 50 soil samples for organics and inorganics with QA/QC samples, consumables and PPE, decontamination, 2 field staff for total 10 hour days.
</t>
  </si>
  <si>
    <t>#12.04</t>
  </si>
  <si>
    <t>Enter mass of asbestos containing materials to dispose off-site</t>
  </si>
  <si>
    <t xml:space="preserve">Load, haul, dispose asbestos containing materials including sheet, pipe, cladding to waste facility. Includes gate fee.  If levy is applicable  it is applied below. Distance to waste facility is shown in Assumptions.
</t>
  </si>
  <si>
    <t>#12.05</t>
  </si>
  <si>
    <t>Enter mass of soil containing asbestos  to dispose off-site</t>
  </si>
  <si>
    <t xml:space="preserve">Load, haul, dispose soil to waste facility. Includes gate fee.  If levy is applicable  it is applied below. Distance to waste facility is shown in Assumptions.
</t>
  </si>
  <si>
    <t>#12.06</t>
  </si>
  <si>
    <t>Enter mass of soil containing low level petroleum hydrocarbons to dispose off-site</t>
  </si>
  <si>
    <t xml:space="preserve">Load, haul, dispose soil to waste facility. Includes gate fee..  If levy is applicable  it is applied below. Distance to waste facility is shown in Assumptions.
</t>
  </si>
  <si>
    <t>#12.07</t>
  </si>
  <si>
    <t>Enter mass of soil containing high level petroleum hydrocarbons to dispose off-site</t>
  </si>
  <si>
    <t xml:space="preserve">Load, haul, dispose a to waste facility. Includes gate fee.  If levy is applicable  it is applied below. Distance to waste facility is shown in Assumptions.
</t>
  </si>
  <si>
    <t>#12.08</t>
  </si>
  <si>
    <t>Enter mass of soil containing low level inorganics (e.g. metals and metalloids, cyanide) to dispose off-site</t>
  </si>
  <si>
    <t xml:space="preserve">Load, haul, dispose  to waste facility. Includes gate fee.  If levy is applicable  it is applied below. Distance to waste facility is shown in Assumptions.
</t>
  </si>
  <si>
    <t>#12.09</t>
  </si>
  <si>
    <t>Enter mass of soil containing high level inorganics (e.g. metals and metalloids, cyanide) to dispose off-site</t>
  </si>
  <si>
    <t xml:space="preserve">Load, haul, dispose soil  to waste facility. Includes gate fee.  If levy is applicable  it is applied below. Distance to waste facility is shown in Assumptions.
</t>
  </si>
  <si>
    <t>#12.10</t>
  </si>
  <si>
    <t>Enter mass of general waste to dispose off-site</t>
  </si>
  <si>
    <t>#12.11</t>
  </si>
  <si>
    <t>Enter mass of construction / building waste to dispose off-site</t>
  </si>
  <si>
    <t>#12.12</t>
  </si>
  <si>
    <t>Enter mass of regulated waste to dispose off-site</t>
  </si>
  <si>
    <t>#12.13</t>
  </si>
  <si>
    <t>Enter mass of soil sludge to dispose off-site</t>
  </si>
  <si>
    <t xml:space="preserve">Load, haul, dispose sludge to waste facility. Includes gate fee.  If levy is applicable  it is applied below. Distance to waste facility is shown in Assumptions.
</t>
  </si>
  <si>
    <t>#12.14</t>
  </si>
  <si>
    <t>Entries come from Input Sheet and/or above.</t>
  </si>
  <si>
    <t xml:space="preserve">Only applied if site is in a waste levy zone and the levy is applicable.
</t>
  </si>
  <si>
    <t>#12.15</t>
  </si>
  <si>
    <t>#12.16</t>
  </si>
  <si>
    <t>#12.17</t>
  </si>
  <si>
    <t>#12.18</t>
  </si>
  <si>
    <t>#12.19</t>
  </si>
  <si>
    <t>#12.20</t>
  </si>
  <si>
    <t>#12.21</t>
  </si>
  <si>
    <t>#12.22</t>
  </si>
  <si>
    <t>#12.23</t>
  </si>
  <si>
    <t>#12.24</t>
  </si>
  <si>
    <t>#12.25</t>
  </si>
  <si>
    <t>#12.26</t>
  </si>
  <si>
    <t>#12.27</t>
  </si>
  <si>
    <t>#12.28</t>
  </si>
  <si>
    <t>#12.29</t>
  </si>
  <si>
    <t>#12.30</t>
  </si>
  <si>
    <t xml:space="preserve">On-site remediation of hydrocarbon contaminated soils (&lt;=100m3) - manual land farming
</t>
  </si>
  <si>
    <t xml:space="preserve">
Enter mass of soil to be remediated on-site. Where an assessment has been made to confirm bioremediation is possible.
</t>
  </si>
  <si>
    <t>Assumes the use of CAT 14G grader, CAT 980 loader, water truck, amendments and labour.</t>
  </si>
  <si>
    <t>#12.31</t>
  </si>
  <si>
    <t xml:space="preserve">On-site remediation of hydrocarbon contaminated soils (&gt; 100 and &lt;=500m3) - manual land farming
</t>
  </si>
  <si>
    <t>#12.32</t>
  </si>
  <si>
    <t xml:space="preserve">On-site remediation of hydrocarbon contaminated soils (&gt;500m3) - manual land farming
</t>
  </si>
  <si>
    <t>#12.33</t>
  </si>
  <si>
    <t>#12.34</t>
  </si>
  <si>
    <t>13. Mobilisation and Demobilisation</t>
  </si>
  <si>
    <t>#13.01</t>
  </si>
  <si>
    <t>Mobilisation &amp; Demobilisation (Distance to site &lt;= 150 km) Small fleet for Well Pads, Roads, Pipeline Easements</t>
  </si>
  <si>
    <t>mobe</t>
  </si>
  <si>
    <t xml:space="preserve">
Cost of the contractor mobilising / demobilising suitable plant and equipment. Typically only one quantity and selection is required per submission. If the project has large dams and camps larger fleets are applicable.
</t>
  </si>
  <si>
    <t xml:space="preserve">
Site specific requirements will dictate the types of plant and equipment that will be required to be mobilised / demobilised for decommissioning and rehabilitation activities - this rate is a provisional sum to cover these costs.
</t>
  </si>
  <si>
    <t>#13.02</t>
  </si>
  <si>
    <t>Mobilisation &amp; Demobilisation (Distance to site &gt; 150 to &lt;= 500 km) Small fleet for Well Pads, Roads, Pipeline Easements</t>
  </si>
  <si>
    <t>#13.03</t>
  </si>
  <si>
    <t>Mobilisation &amp; Demobilisation (Distance to site &gt; 500 km to &lt;= 1000 km ) Small fleet for Well Pads, Roads, Pipeline Easements</t>
  </si>
  <si>
    <t>#13.04</t>
  </si>
  <si>
    <t>Mobilisation &amp; Demobilisation (Distance to site &gt; 1000 km) Small fleet for Well Pads, Roads, Pipeline Easements</t>
  </si>
  <si>
    <t>#13.05</t>
  </si>
  <si>
    <t>Mobilisation &amp; Demobilisation (Distance to site &lt;= 150 km) Large fleet for Facilities and Dams</t>
  </si>
  <si>
    <t>#13.06</t>
  </si>
  <si>
    <t>Mobilisation &amp; Demobilisation (Distance to site &gt; 150 to &lt;= 500 km)  Large fleet for Facilities and Dams</t>
  </si>
  <si>
    <t>#13.07</t>
  </si>
  <si>
    <t>Mobilisation &amp; Demobilisation (Distance to site &gt; 500 km to &lt;= 1000 km )  Large fleet for Facilities and Dams</t>
  </si>
  <si>
    <t>#13.08</t>
  </si>
  <si>
    <t>Mobilisation &amp; Demobilisation (Distance to site &gt; 1000 km)  Large fleet for Facilities and Dams</t>
  </si>
  <si>
    <t>#13.09</t>
  </si>
  <si>
    <r>
      <t xml:space="preserve">This item includes </t>
    </r>
    <r>
      <rPr>
        <b/>
        <sz val="8"/>
        <color indexed="10"/>
        <rFont val="Arial"/>
        <family val="2"/>
      </rPr>
      <t>&lt;&lt;to be added by the User&gt;&gt;</t>
    </r>
  </si>
  <si>
    <t>#13.10</t>
  </si>
  <si>
    <t>#13.11</t>
  </si>
  <si>
    <t>Mobilisation &amp; Demobilisation for total ERC amounts less than or equal to $1,000,000 (total).  Total is shown in column L.</t>
  </si>
  <si>
    <t>Pre-mobe and multipliers</t>
  </si>
  <si>
    <t xml:space="preserve">
User can enter 1 quantity for projects of pre-multiplier and mobe cost less than or equal to $1,000,000.
</t>
  </si>
  <si>
    <t>Applicability is indicated in column E below this line.</t>
  </si>
  <si>
    <t xml:space="preserve">Small Project Mobe </t>
  </si>
  <si>
    <t>14. Additional Activities</t>
  </si>
  <si>
    <t xml:space="preserve">
The MAP ID should also expand with the User entered text.
</t>
  </si>
  <si>
    <t>#14.01</t>
  </si>
  <si>
    <t xml:space="preserve">
Alt Enter on the first line to add a space row. The row should expand to cater for any amount of text. Alt Enter at the end of the text to add a space row.
</t>
  </si>
  <si>
    <t>#14.02</t>
  </si>
  <si>
    <t>#14.03</t>
  </si>
  <si>
    <t>Other &lt;insert&gt;</t>
  </si>
  <si>
    <t>#14.04</t>
  </si>
  <si>
    <t>#14.05</t>
  </si>
  <si>
    <t>#14.06</t>
  </si>
  <si>
    <t>#14.07</t>
  </si>
  <si>
    <t>#14.08</t>
  </si>
  <si>
    <t>#14.09</t>
  </si>
  <si>
    <t>#14.10</t>
  </si>
  <si>
    <t>WASTE LEVY REGISTER</t>
  </si>
  <si>
    <t>CONCRETE</t>
  </si>
  <si>
    <t>TOV#</t>
  </si>
  <si>
    <t>Qty Input Sheets</t>
  </si>
  <si>
    <t>Qty Main</t>
  </si>
  <si>
    <t>Total Qty (t)</t>
  </si>
  <si>
    <t>t per m2</t>
  </si>
  <si>
    <t>t per km</t>
  </si>
  <si>
    <t>t per plant</t>
  </si>
  <si>
    <t>plants</t>
  </si>
  <si>
    <t>t per tank</t>
  </si>
  <si>
    <t>tanks</t>
  </si>
  <si>
    <t>Metro</t>
  </si>
  <si>
    <t>Regional</t>
  </si>
  <si>
    <t>Total to ERC amount (only applied if Waste Levy applies)</t>
  </si>
  <si>
    <t>Reference</t>
  </si>
  <si>
    <t>Inv Contam</t>
  </si>
  <si>
    <t>Total ERC</t>
  </si>
  <si>
    <t xml:space="preserve">Only areas not included in other areas </t>
  </si>
  <si>
    <t>Land Rehabilitation and Repair of Subsidence and Land Management</t>
  </si>
  <si>
    <t>Name of Area</t>
  </si>
  <si>
    <t>Maintenance of rehabilitated areas</t>
  </si>
  <si>
    <t>Existing rehabilitation repair - minor</t>
  </si>
  <si>
    <t>Existing rehabilitation repair - moderate</t>
  </si>
  <si>
    <t>Existing rehabilitation repair - major</t>
  </si>
  <si>
    <t>Existing rehabilitation repair - total failure of intended landform</t>
  </si>
  <si>
    <t>Rehabilitation of miscellaneous footprints</t>
  </si>
  <si>
    <t>Land management of undisturbed areas (e.g., weed management, feral animal control, erosion and sediment control works)</t>
  </si>
  <si>
    <t>Pest management on buffer lands, non-disturbed, and rehabilitated areas</t>
  </si>
  <si>
    <t>Quantity Totals</t>
  </si>
  <si>
    <t>Natural Drainage and Diversions</t>
  </si>
  <si>
    <t>Engineered cut-through drain</t>
  </si>
  <si>
    <t>Repairs and/or stabilisation of new or compromised water course diversion</t>
  </si>
  <si>
    <t>Long term maintenance of water course diversion – Channel constructed through backfilled material</t>
  </si>
  <si>
    <t>Long term maintenance of water course diversion – Channel constructed through competent material</t>
  </si>
  <si>
    <t>Installation of rock armouring</t>
  </si>
  <si>
    <t>General Doze and Rip</t>
  </si>
  <si>
    <t>General doze deep ripping - D6R</t>
  </si>
  <si>
    <t>General doze deep ripping - D7R</t>
  </si>
  <si>
    <t>General doze deep ripping - D8R</t>
  </si>
  <si>
    <t>General doze deep ripping - D9R</t>
  </si>
  <si>
    <t>General doze deep ripping - D10T</t>
  </si>
  <si>
    <t>General doze deep ripping - D11T</t>
  </si>
  <si>
    <t>General doze and shape to re-establish natural drainage and rip - D6R dozer</t>
  </si>
  <si>
    <t>General doze and shape to re-establish natural drainage and rip - D7R dozer</t>
  </si>
  <si>
    <t>General doze and shape to re-establish natural drainage and rip - D8R dozer</t>
  </si>
  <si>
    <t>General doze and shape to re-establish natural drainage and rip - D9R dozer</t>
  </si>
  <si>
    <t>General doze and shape to re-establish natural drainage and rip - D10T dozer</t>
  </si>
  <si>
    <t>General doze and shape to re-establish natural drainage and rip - D11T dozer</t>
  </si>
  <si>
    <t>General Grade and Rip</t>
  </si>
  <si>
    <t>General grader and shape to re-establish natural rip - 12M</t>
  </si>
  <si>
    <t>General grader and shape to re-establish natural rip - 14M</t>
  </si>
  <si>
    <t>General grader and shape to re-establish natural rip - 16M</t>
  </si>
  <si>
    <t>Miscellaneous Soil Amelioration and Seeding</t>
  </si>
  <si>
    <t>Whole #</t>
  </si>
  <si>
    <t>Bores</t>
  </si>
  <si>
    <t>Whole # (bore)</t>
  </si>
  <si>
    <t>WELLS INPUT SHEET</t>
  </si>
  <si>
    <t>Decom rate</t>
  </si>
  <si>
    <t>Arid ($/ha)</t>
  </si>
  <si>
    <t>Total Sheet</t>
  </si>
  <si>
    <t>Land for seed (ha)</t>
  </si>
  <si>
    <t>Land Arid (ha)</t>
  </si>
  <si>
    <t>Decom</t>
  </si>
  <si>
    <t>Land Cost ($/ha)</t>
  </si>
  <si>
    <t>Name</t>
  </si>
  <si>
    <t>Total Area (all wells in row)</t>
  </si>
  <si>
    <t>Land Type</t>
  </si>
  <si>
    <t>Select from dropdown</t>
  </si>
  <si>
    <t>Conventional oil, Plugged and abandoned, Single well</t>
  </si>
  <si>
    <t>seed</t>
  </si>
  <si>
    <t>Conventional oil, Suspended, Single well</t>
  </si>
  <si>
    <t>Conventional oil, Shut-in, Single well</t>
  </si>
  <si>
    <t>Conventional oil, Appraisal / development, Single well</t>
  </si>
  <si>
    <t>Conventional oil, Operation / Production, Single well, Beam Pump</t>
  </si>
  <si>
    <t>Conventional oil, Operation / Production, Single well, No Beam Pump</t>
  </si>
  <si>
    <t>Conventional oil, Beam Pump only</t>
  </si>
  <si>
    <t>Conventional gas, Plugged and abandoned, Single well</t>
  </si>
  <si>
    <t>Conventional gas, Suspended, Single well</t>
  </si>
  <si>
    <t>Conventional gas, Shut-in, Single well</t>
  </si>
  <si>
    <t>Conventional gas, Appraisal / development, Single well</t>
  </si>
  <si>
    <t>Conventional gas, Operation / Production, Single well</t>
  </si>
  <si>
    <t>Conventional gas, Operation / Production, &lt;= 4 wells well</t>
  </si>
  <si>
    <t>Conventional gas, Operation / Production, &gt; 4 wells well</t>
  </si>
  <si>
    <t>Coal seam gas, Plugged and abandoned, Single well</t>
  </si>
  <si>
    <t>Coal seam gas, Suspended, Single well</t>
  </si>
  <si>
    <t>Coal seam gas, Shut-in, Single well</t>
  </si>
  <si>
    <t>Coal seam gas, Appraisal / development, Single well</t>
  </si>
  <si>
    <t>Coal seam gas, Operation / Production, Single well</t>
  </si>
  <si>
    <t>Coal seam gas, Appraisal / development, &lt;= 4 wells well</t>
  </si>
  <si>
    <t>Coal seam gas, Operation / Production, &lt;= 4 wells well</t>
  </si>
  <si>
    <t>Coal seam gas, Appraisal / development, &gt; 4 wells well</t>
  </si>
  <si>
    <t>Coal seam gas, Operation / Production, &gt; 4 wells well</t>
  </si>
  <si>
    <t>Tight / shale gas, Plugged and abandoned, Single well</t>
  </si>
  <si>
    <t>Tight / shale gas, Suspended, Single well</t>
  </si>
  <si>
    <t>Tight / shale gas, Shut-in, Single well</t>
  </si>
  <si>
    <t>Tight / shale gas, Appraisal / development, Single well</t>
  </si>
  <si>
    <t>Tight / shale gas, Operation / Production, Single well</t>
  </si>
  <si>
    <t>Tight / shale gas, Operation / Production, &lt;= 4 wells well</t>
  </si>
  <si>
    <t>Tight / shale gas, Operation / Production, &gt; 4 wells well</t>
  </si>
  <si>
    <t>no seed (arid)</t>
  </si>
  <si>
    <t>Total Seismic</t>
  </si>
  <si>
    <t>Total Tracks</t>
  </si>
  <si>
    <t>Total Camps</t>
  </si>
  <si>
    <t>SEISMIC AND INFRASTRUCTURE INPUT SHEET</t>
  </si>
  <si>
    <t>Seismic (by length)</t>
  </si>
  <si>
    <t xml:space="preserve">Total Length </t>
  </si>
  <si>
    <t xml:space="preserve">
Rehab length
</t>
  </si>
  <si>
    <t>Land</t>
  </si>
  <si>
    <t>Seismic (by area)</t>
  </si>
  <si>
    <t>Total Area</t>
  </si>
  <si>
    <t xml:space="preserve">
Rehab area
</t>
  </si>
  <si>
    <t>Tracks and Roads</t>
  </si>
  <si>
    <t>Area below is total disturbance area for all camps in the category / row</t>
  </si>
  <si>
    <t xml:space="preserve">Area </t>
  </si>
  <si>
    <t xml:space="preserve">Width </t>
  </si>
  <si>
    <t>Area Calculated</t>
  </si>
  <si>
    <t xml:space="preserve">Area User Entered </t>
  </si>
  <si>
    <t>Area used in calculations</t>
  </si>
  <si>
    <t xml:space="preserve">
Type
</t>
  </si>
  <si>
    <t>Earthen Pasture</t>
  </si>
  <si>
    <t>Earthen Native</t>
  </si>
  <si>
    <t>Earthen Arid</t>
  </si>
  <si>
    <t>Rock, Gravel, Bitumen Pasture</t>
  </si>
  <si>
    <t>Rock, Gravel, Bitumen Native</t>
  </si>
  <si>
    <t>Rock, Gravel, Bitumen Arid</t>
  </si>
  <si>
    <t>Bitumen</t>
  </si>
  <si>
    <t>Camps capacity and area</t>
  </si>
  <si>
    <t>Name(s)</t>
  </si>
  <si>
    <t>Select Camp Size</t>
  </si>
  <si>
    <t>Temporary camp - &lt;= 20 persons</t>
  </si>
  <si>
    <t>Temporary camp - &gt; 4000 and &lt;= 5000 persons</t>
  </si>
  <si>
    <t>Permanent camp - &gt; 0 and &lt;= 20 persons</t>
  </si>
  <si>
    <t>Permanent camp - &gt; 4000 and &lt;= 5000 persons</t>
  </si>
  <si>
    <t>Temporary camp - &gt; 200 and &lt;= 250 persons</t>
  </si>
  <si>
    <t>Reference:</t>
  </si>
  <si>
    <t>Land Subrates</t>
  </si>
  <si>
    <t>Camps Subrates</t>
  </si>
  <si>
    <t>Rate:</t>
  </si>
  <si>
    <t>Total:</t>
  </si>
  <si>
    <t>PIPELINES LAND INPUT SHEET</t>
  </si>
  <si>
    <t>Above or Below Ground</t>
  </si>
  <si>
    <t>Fluid</t>
  </si>
  <si>
    <t>Easement Length</t>
  </si>
  <si>
    <t xml:space="preserve">Easement Width </t>
  </si>
  <si>
    <t>Oil</t>
  </si>
  <si>
    <t>Partially</t>
  </si>
  <si>
    <t>Rehabilitated</t>
  </si>
  <si>
    <t>hectares</t>
  </si>
  <si>
    <t>Pipelines Subrates</t>
  </si>
  <si>
    <t>Rate (per ha)</t>
  </si>
  <si>
    <t>Unc Gas</t>
  </si>
  <si>
    <t>Con gas</t>
  </si>
  <si>
    <t>LPG</t>
  </si>
  <si>
    <t>Water Transfer</t>
  </si>
  <si>
    <t>Gas Processing Facilities</t>
  </si>
  <si>
    <t>Gas Process Plant - Pasture (Total for all facilities in row)</t>
  </si>
  <si>
    <t>Gas Process Plant - Native (Total for all facilities in row)</t>
  </si>
  <si>
    <t>Gas Process Plant - Arid (Total for all facilities in row)</t>
  </si>
  <si>
    <t>Gas Processing Plant &gt; 0 and &lt;= 15 TJ/day</t>
  </si>
  <si>
    <t>Gas Processing Plant &gt; 15 and &lt;= 25 TJ/day</t>
  </si>
  <si>
    <t>Gas Processing Plant &gt; 25 and &lt;= 50 TJ/day</t>
  </si>
  <si>
    <t>Gas Processing Plant &gt; 50 and &lt;= 100 TJ/day</t>
  </si>
  <si>
    <t>Gas Processing Plant &gt; 100 and &lt;= 200 TJ/day</t>
  </si>
  <si>
    <t>Gas Processing Plant &gt; 200 and &lt;= 300 TJ/day</t>
  </si>
  <si>
    <t>Gas Processing Plant &gt; 300 and &lt;= 400 TJ/day</t>
  </si>
  <si>
    <t>Gas Processing Plant &gt; 400 and &lt;= 500 TJ/day</t>
  </si>
  <si>
    <t>Gas Processing Plant &gt; 500 and &lt;= 750 TJ/day</t>
  </si>
  <si>
    <t>Gas Processing Plant &gt; 750 and &lt;= 1000 TJ/day</t>
  </si>
  <si>
    <t>Process_Facilities</t>
  </si>
  <si>
    <t>Conventional Gas Plants</t>
  </si>
  <si>
    <t>Conventional Gas Plant - Pasture (Total for all facilities in row)</t>
  </si>
  <si>
    <t>Conventional Gas Plant - Native (Total for all facilities in row)</t>
  </si>
  <si>
    <t>Conventional Gas Plant - Arid (Total for all facilities in row)</t>
  </si>
  <si>
    <t>Conventional Gas &gt; 5 and &lt;= 10 TJ/day</t>
  </si>
  <si>
    <t>Conventional Gas &gt; 1 and &lt;= 2 TJ/day</t>
  </si>
  <si>
    <t>Conventional Gas &gt; 2 and &lt;= 5 TJ/day</t>
  </si>
  <si>
    <t>Conventional Gas &gt; 10 and &lt;= 15 TJ/day</t>
  </si>
  <si>
    <t>Conventional Gas &gt; 15 and &lt;= 25 TJ/day</t>
  </si>
  <si>
    <t>Conventional Gas &gt; 25 and &lt;= 50 TJ/day</t>
  </si>
  <si>
    <t>Conventional Gas &gt; 0 and &lt;= 1 TJ/day</t>
  </si>
  <si>
    <t>Water Treatment Plants</t>
  </si>
  <si>
    <t>Water Treatment Plant - Pasture (Total for all facilities in row)</t>
  </si>
  <si>
    <t>Water Treatment Plant - Native (Total for all facilities in row)</t>
  </si>
  <si>
    <t>Water Treatment Plant - Arid (Total for all facilities in row)</t>
  </si>
  <si>
    <t>Water Treatment Plant 1 ML/day</t>
  </si>
  <si>
    <t>Water Treatment Plant 2 ML/day</t>
  </si>
  <si>
    <t>Water Treatment Plant 6 ML/day</t>
  </si>
  <si>
    <t>Water Treatment Plant 12 ML/day</t>
  </si>
  <si>
    <t>Water Treatment Plant 20 ML/day</t>
  </si>
  <si>
    <t>Water Treatment Plant 40 ML/day</t>
  </si>
  <si>
    <t>Water Treatment Plant 80 ML/day BC&amp;TC</t>
  </si>
  <si>
    <t>Water Treatment Plant 100 ML/day BC&amp;TC</t>
  </si>
  <si>
    <t>Water Transfer Stations</t>
  </si>
  <si>
    <t>Water Transfer Station - Pasture (Total for all facilities in row)</t>
  </si>
  <si>
    <t>Water Transfer Station - Native (Total for all facilities in row)</t>
  </si>
  <si>
    <t>Water Transfer Station - Arid (Total for all facilities in row)</t>
  </si>
  <si>
    <t xml:space="preserve"> Whole #</t>
  </si>
  <si>
    <t>Oil Storage Facilities</t>
  </si>
  <si>
    <t>Oil Storage Facility - Pasture (Total for all facilities in row)</t>
  </si>
  <si>
    <t>Oil Storage Facility - Native (Total for all facilities in row)</t>
  </si>
  <si>
    <t>Oil Storage Facility - Arid (Total for all facilities in row)</t>
  </si>
  <si>
    <t>Conventional Oil &gt; 0 and &lt;= 50 kL</t>
  </si>
  <si>
    <t>Conventional Oil &gt; 50 and &lt;= 200 kL</t>
  </si>
  <si>
    <t>Conventional Oil &gt; 200 and &lt;= 1000 kL</t>
  </si>
  <si>
    <t>Conventional Oil &gt; 1000 and &lt;= 5000 kL</t>
  </si>
  <si>
    <t>Conventional Oil &gt; 5000 and &lt;= 10000 kL</t>
  </si>
  <si>
    <t>Conventional Oil &gt; 10000 and &lt;= 25000 kL</t>
  </si>
  <si>
    <t>Conventional Oil &gt; 25000 and &lt;= 50000 kL</t>
  </si>
  <si>
    <t>Liquified Petroleum Gas Facilities</t>
  </si>
  <si>
    <t>LPG Plant - Pasture (Total for all facilities in row)</t>
  </si>
  <si>
    <t>LPG Plant - Native (Total for all facilities in row)</t>
  </si>
  <si>
    <t>LPG Plant - Arid (Total for all facilities in row)</t>
  </si>
  <si>
    <t>LPG Plant &lt;= 500 kL</t>
  </si>
  <si>
    <t>LPG Plant &gt; 500 kL</t>
  </si>
  <si>
    <r>
      <t xml:space="preserve">Type </t>
    </r>
    <r>
      <rPr>
        <sz val="9"/>
        <color rgb="FFFF0000"/>
        <rFont val="Arial"/>
        <family val="2"/>
      </rPr>
      <t>(select from dropdown)</t>
    </r>
  </si>
  <si>
    <t>This sheet</t>
  </si>
  <si>
    <t>Elements</t>
  </si>
  <si>
    <t>For Waste</t>
  </si>
  <si>
    <t>Major Module</t>
  </si>
  <si>
    <t>module</t>
  </si>
  <si>
    <t>Skids (e.g. separator)</t>
  </si>
  <si>
    <t>Pig launcher / receiver</t>
  </si>
  <si>
    <t>Terminations</t>
  </si>
  <si>
    <t>Piping (total length)</t>
  </si>
  <si>
    <t>Earthen bund allowance</t>
  </si>
  <si>
    <t>bund</t>
  </si>
  <si>
    <t>Liquids pump and dispose</t>
  </si>
  <si>
    <t>Growth Media - load, haul place</t>
  </si>
  <si>
    <t>Total disturbance area for grade and seed (pasture)</t>
  </si>
  <si>
    <t>Total disturbance area for grade and seed (native)</t>
  </si>
  <si>
    <t>Total disturbance area for rip (arid)</t>
  </si>
  <si>
    <t>Land investigation - one off costs (enter fraction if justified)</t>
  </si>
  <si>
    <t xml:space="preserve">lump </t>
  </si>
  <si>
    <t>Land investigation - area</t>
  </si>
  <si>
    <t>User entries</t>
  </si>
  <si>
    <t>Decommission and remove tanks and bunds</t>
  </si>
  <si>
    <t>Decommission and remove pumps, launchers, skids, modules</t>
  </si>
  <si>
    <t>Decommission and remove piping</t>
  </si>
  <si>
    <t>Remove portable buildings</t>
  </si>
  <si>
    <t>Demolish on-site constructed buildings</t>
  </si>
  <si>
    <t xml:space="preserve">Rip </t>
  </si>
  <si>
    <t>Top soil</t>
  </si>
  <si>
    <t>Land Investigation</t>
  </si>
  <si>
    <t>This Sheet</t>
  </si>
  <si>
    <t>LIQUIFIED NATURAL GAS PROCESSING FACILITIES</t>
  </si>
  <si>
    <t>Green cells below allow User Selection from dropdown menu</t>
  </si>
  <si>
    <t>Map ID &gt;</t>
  </si>
  <si>
    <t>ID</t>
  </si>
  <si>
    <t xml:space="preserve">
Elements 
</t>
  </si>
  <si>
    <t>Default Rate</t>
  </si>
  <si>
    <t>Alternate Rate</t>
  </si>
  <si>
    <t>Rate Used</t>
  </si>
  <si>
    <t>Justification for alternate Rate</t>
  </si>
  <si>
    <t>Number of trains (select &gt;)*</t>
  </si>
  <si>
    <t>LNG Plant 1 train</t>
  </si>
  <si>
    <t>candle flare</t>
  </si>
  <si>
    <t>ground flare</t>
  </si>
  <si>
    <t>process module</t>
  </si>
  <si>
    <t>Vertical, Steel, Open top, Earth, Single skin, Lined, 0.14 ML</t>
  </si>
  <si>
    <t>Vertical, Steel, Open top, Earth, Single skin, Lined, 0.6 ML</t>
  </si>
  <si>
    <t>Concrete Ring, Steel, Open top, Earth, Single skin, Lined, 12 kL</t>
  </si>
  <si>
    <t>Refuelling facility (including tank, pump, bund)</t>
  </si>
  <si>
    <t>building</t>
  </si>
  <si>
    <t>Permanent camp - &gt; 750 and &lt;= 1000 persons</t>
  </si>
  <si>
    <t>camp</t>
  </si>
  <si>
    <t>Total disturbance area for final grade and seed (pasture)</t>
  </si>
  <si>
    <t>Total disturbance area for final grade and seed (native)</t>
  </si>
  <si>
    <t>Total disturbance area for final grade and seed (arid)</t>
  </si>
  <si>
    <t>User item</t>
  </si>
  <si>
    <t>Totals &gt;</t>
  </si>
  <si>
    <t>Medium</t>
  </si>
  <si>
    <t>User entry</t>
  </si>
  <si>
    <t>Decommission and remove tanks</t>
  </si>
  <si>
    <t>Decommission and remove pumps, skids and modules</t>
  </si>
  <si>
    <t>WATER STORAGE INPUT SHEET</t>
  </si>
  <si>
    <t>Total Input Sheet</t>
  </si>
  <si>
    <t>Name of Dam / Pond</t>
  </si>
  <si>
    <t>Regulated or Non-Regulated</t>
  </si>
  <si>
    <t>Number (information only)*</t>
  </si>
  <si>
    <t>Total Crest Area (of all dams in row)*</t>
  </si>
  <si>
    <t>Non-regulated</t>
  </si>
  <si>
    <t>Regulated</t>
  </si>
  <si>
    <t>Dam Subrates</t>
  </si>
  <si>
    <t>rate per hectare</t>
  </si>
  <si>
    <t>Total this sheet</t>
  </si>
  <si>
    <t>dam_sed_clean_def</t>
  </si>
  <si>
    <t>dam_gm_def</t>
  </si>
  <si>
    <t>Water Structures User</t>
  </si>
  <si>
    <t>Wall Push in</t>
  </si>
  <si>
    <t>Growth Media</t>
  </si>
  <si>
    <t>Haul, Push, Fleet Selections</t>
  </si>
  <si>
    <t>Unit Rates</t>
  </si>
  <si>
    <t>Subtotals</t>
  </si>
  <si>
    <t>Size (ML)</t>
  </si>
  <si>
    <t>Regulated or Not Regulated</t>
  </si>
  <si>
    <t># of structures in this category (each row)</t>
  </si>
  <si>
    <t>Top (Crest) of Water Structure Area per pond (ha)</t>
  </si>
  <si>
    <t>Liner (select Lined or Unlined)</t>
  </si>
  <si>
    <t>User Entered Liner Area per pond (ha)</t>
  </si>
  <si>
    <t>Liner area used in Calculations (ha)</t>
  </si>
  <si>
    <t>Liner Warning</t>
  </si>
  <si>
    <t xml:space="preserve">Wall Height (above ground surface) (m) </t>
  </si>
  <si>
    <t>Wall width at top (m)</t>
  </si>
  <si>
    <t>Slope (1 in X)</t>
  </si>
  <si>
    <t>Width at base (m)</t>
  </si>
  <si>
    <t>Calculated Area of Wall (m2)</t>
  </si>
  <si>
    <t>User Entered Wall Area (m2)</t>
  </si>
  <si>
    <t>Linear Length of Bund Walls (m)</t>
  </si>
  <si>
    <t>User Entered Linear Length of Bunds (m)</t>
  </si>
  <si>
    <t>Volume of Dirt in Bunds (m3)</t>
  </si>
  <si>
    <t>User Entered Sediment Thickness (m)</t>
  </si>
  <si>
    <t>Sediment volume (m3)</t>
  </si>
  <si>
    <t>Growth Media area (ha)</t>
  </si>
  <si>
    <t>User Growth Media area (ha)</t>
  </si>
  <si>
    <t>Growth Media Thickness  (mm)</t>
  </si>
  <si>
    <t>User Growth Media Thickness (mm)</t>
  </si>
  <si>
    <t>Growth Media Volume (m3)</t>
  </si>
  <si>
    <t>Area to Investigate (ha)</t>
  </si>
  <si>
    <t>User Area to Investigate (ha)</t>
  </si>
  <si>
    <t># Dams to Share Upfront Cost</t>
  </si>
  <si>
    <t>Remove Silt - Select Haulage Distance (m)</t>
  </si>
  <si>
    <t>Sediment Fleet</t>
  </si>
  <si>
    <t>Push Distance for Wall Push in (m)</t>
  </si>
  <si>
    <t>Push Fleet for Wall Push in</t>
  </si>
  <si>
    <t>Load, haul, dump growth media distance</t>
  </si>
  <si>
    <t>Sediment Haul Rate ($/m3)</t>
  </si>
  <si>
    <t>Wall Push in Rate ($/m3)</t>
  </si>
  <si>
    <t>Growth Media ($/m3)</t>
  </si>
  <si>
    <t>Seed ($/ha)</t>
  </si>
  <si>
    <t>Sediment ($)</t>
  </si>
  <si>
    <t>Liner Removal ($)</t>
  </si>
  <si>
    <t>Liner Disposal ($)</t>
  </si>
  <si>
    <t>Soil  Movement
($)</t>
  </si>
  <si>
    <t>Growth Media ($)</t>
  </si>
  <si>
    <t>Seed ($/)</t>
  </si>
  <si>
    <t>Land Investigation Upfront costs ($)</t>
  </si>
  <si>
    <t>Land Investigation - per area ($/)</t>
  </si>
  <si>
    <t>Total Cost for Dam</t>
  </si>
  <si>
    <t>Land investigation</t>
  </si>
  <si>
    <t>Total Cost for All Dams in Category</t>
  </si>
  <si>
    <t>Key Input</t>
  </si>
  <si>
    <t>Subrates_Table_1</t>
  </si>
  <si>
    <t>Subrates_Table_2</t>
  </si>
  <si>
    <t>Subrates_Table_4</t>
  </si>
  <si>
    <t>&lt;= 20m push</t>
  </si>
  <si>
    <t>Small Fleet 1</t>
  </si>
  <si>
    <t>&gt; 20m to &lt;= 30m push</t>
  </si>
  <si>
    <t>Intrusive Site Investigation</t>
  </si>
  <si>
    <t>Preliminary Site Investigations</t>
  </si>
  <si>
    <t>Proportion of One-off Costs (typ. 1)</t>
  </si>
  <si>
    <t>Disposal to Off-site Facility</t>
  </si>
  <si>
    <t>Mass to Dispose</t>
  </si>
  <si>
    <t>Primary Contaminant</t>
  </si>
  <si>
    <t>Only linked backwards in DES version otherwise cut and paste as values</t>
  </si>
  <si>
    <t>General Assumptions</t>
  </si>
  <si>
    <t>Parameter</t>
  </si>
  <si>
    <t>Value</t>
  </si>
  <si>
    <t>Average working day</t>
  </si>
  <si>
    <t>Travel speed for consultant</t>
  </si>
  <si>
    <t>Electricity cost</t>
  </si>
  <si>
    <t>Waste - incidental multiplier</t>
  </si>
  <si>
    <t>Conversions</t>
  </si>
  <si>
    <t>Speed - kph to m/min</t>
  </si>
  <si>
    <t>Proportion of length or area requiring rehabilitation</t>
  </si>
  <si>
    <t>Density</t>
  </si>
  <si>
    <t>(t / m3)</t>
  </si>
  <si>
    <t>Soil</t>
  </si>
  <si>
    <t>Rock cover (mining)</t>
  </si>
  <si>
    <t>Clay</t>
  </si>
  <si>
    <t>Excavators, Loaders, Graders</t>
  </si>
  <si>
    <t>Concrete Break and Remove</t>
  </si>
  <si>
    <t>Concrete Break and Remove Reduced Rate</t>
  </si>
  <si>
    <t xml:space="preserve">Asphalt Remove </t>
  </si>
  <si>
    <t xml:space="preserve">Gravel Remove </t>
  </si>
  <si>
    <t xml:space="preserve">Bund Demolition </t>
  </si>
  <si>
    <t xml:space="preserve">Soil Load </t>
  </si>
  <si>
    <t xml:space="preserve">General </t>
  </si>
  <si>
    <t xml:space="preserve">Load Metal </t>
  </si>
  <si>
    <t xml:space="preserve">Cut Steel Plate </t>
  </si>
  <si>
    <t>Cut Cladding</t>
  </si>
  <si>
    <t xml:space="preserve">Cut Pipe </t>
  </si>
  <si>
    <t xml:space="preserve">Cut Cable </t>
  </si>
  <si>
    <t xml:space="preserve">Cut Electrical Cable Tray </t>
  </si>
  <si>
    <t xml:space="preserve">Cut Liner </t>
  </si>
  <si>
    <t xml:space="preserve">Liner Rolling </t>
  </si>
  <si>
    <t>lph</t>
  </si>
  <si>
    <t>m/h</t>
  </si>
  <si>
    <t>Line</t>
  </si>
  <si>
    <t>Cat Manual (see table below) for H160 hammer (suits Cat 340 excavator)</t>
  </si>
  <si>
    <t>Liner cut 5 X 5 m pieces, 40 cuts per hectare, travel speed 2 km/h, 2 hours per hectare</t>
  </si>
  <si>
    <t>Liner roll 10 minutes per roll, each roll is 5 X 5 = 25 m2</t>
  </si>
  <si>
    <t>Dozer Specifications</t>
  </si>
  <si>
    <t>Description</t>
  </si>
  <si>
    <t>D11R</t>
  </si>
  <si>
    <t>D10R</t>
  </si>
  <si>
    <t>D9R</t>
  </si>
  <si>
    <t>D8R</t>
  </si>
  <si>
    <t>D7R</t>
  </si>
  <si>
    <t>D6R</t>
  </si>
  <si>
    <t>Blade Width (SU) (m)</t>
  </si>
  <si>
    <t>Dozing Speed - Average (kph)</t>
  </si>
  <si>
    <t>Shank Gauge (3 shanks) (m)</t>
  </si>
  <si>
    <t>Pocket Spacing (m)</t>
  </si>
  <si>
    <t>Ripping Width (Ripper + 1 Pocket) (m)</t>
  </si>
  <si>
    <t>Ripping Speed (kmph)</t>
  </si>
  <si>
    <t>Ripping Manoeuvre (turn) Time (min)</t>
  </si>
  <si>
    <t>Altitude Deration Factor</t>
  </si>
  <si>
    <t>Ripping Hourly Production (excluding manoeuvring time) (m)</t>
  </si>
  <si>
    <t>Dozer Productivity vs. Grading Distance</t>
  </si>
  <si>
    <t>Production (LCM/hr)</t>
  </si>
  <si>
    <t>Number of dozers</t>
  </si>
  <si>
    <t>Dozing distance (m)</t>
  </si>
  <si>
    <t>Truck Capacities, Loading Rates and Travel Speeds</t>
  </si>
  <si>
    <t>Truck Type</t>
  </si>
  <si>
    <t>Maximum Mass (t)</t>
  </si>
  <si>
    <t>Average Speed Loaded (km/h)</t>
  </si>
  <si>
    <t>Average Speed Unloaded (km/h)</t>
  </si>
  <si>
    <t>Oil Loading Rate</t>
  </si>
  <si>
    <t>Water Loading Rate</t>
  </si>
  <si>
    <t>Wooden Poles</t>
  </si>
  <si>
    <t>per load</t>
  </si>
  <si>
    <t>Module Transport</t>
  </si>
  <si>
    <t>Tracks, Roads, Laydown, Powerpoles</t>
  </si>
  <si>
    <t>Parking</t>
  </si>
  <si>
    <t>General Surface</t>
  </si>
  <si>
    <t>Lattice Structures</t>
  </si>
  <si>
    <t>Powerlines</t>
  </si>
  <si>
    <t>Concrete Power poles</t>
  </si>
  <si>
    <t>Concrete surface cover</t>
  </si>
  <si>
    <t>Concrete footing</t>
  </si>
  <si>
    <t>Growth media (top soil)</t>
  </si>
  <si>
    <t>Thickness rock cover for ramps</t>
  </si>
  <si>
    <t>per 100 m2</t>
  </si>
  <si>
    <t>Conversion</t>
  </si>
  <si>
    <t>ha/km</t>
  </si>
  <si>
    <t>Specific mass of structural steel - columns</t>
  </si>
  <si>
    <t>Specific mass of structural steel - cross beams</t>
  </si>
  <si>
    <t>Electrical cable specific mass</t>
  </si>
  <si>
    <t>Temporary Camp</t>
  </si>
  <si>
    <t>Process Plants</t>
  </si>
  <si>
    <t>Gravel / Rock / Bitumen / Asphalt</t>
  </si>
  <si>
    <t>Concrete slab</t>
  </si>
  <si>
    <t>Dams and Ponds</t>
  </si>
  <si>
    <t>Sediment</t>
  </si>
  <si>
    <t>Others (e.g. Weirs)</t>
  </si>
  <si>
    <t>Multiplier on base area for liner</t>
  </si>
  <si>
    <t>No growth media or re-seed for dams in arid environments.</t>
  </si>
  <si>
    <t>Geomembrane</t>
  </si>
  <si>
    <t>Concrete foundation</t>
  </si>
  <si>
    <t>Concrete panels thickness</t>
  </si>
  <si>
    <t>Multiplier for ladders, walkways structural steel</t>
  </si>
  <si>
    <t>Well Status / Type</t>
  </si>
  <si>
    <t>Conventional oil, Single</t>
  </si>
  <si>
    <t>Conventional gas, Single</t>
  </si>
  <si>
    <t>Coal seam gas, Single</t>
  </si>
  <si>
    <t>Tight / shale gas, Single</t>
  </si>
  <si>
    <t>Conventional gas, &lt;= 4 wells</t>
  </si>
  <si>
    <t>Coal seam gas, &lt;= 4 wells</t>
  </si>
  <si>
    <t>Tight / shale gas, &lt;= 4 wells</t>
  </si>
  <si>
    <t>Conventional gas, &gt; 4 wells</t>
  </si>
  <si>
    <t>Coal seam gas, &gt; 4 wells</t>
  </si>
  <si>
    <t>Tight / shale gas, &gt; 4 wells</t>
  </si>
  <si>
    <t>Coreholes - conventional oil and gas, coal seam gas, tight/shale gas</t>
  </si>
  <si>
    <t>DISTANCES</t>
  </si>
  <si>
    <t>Distance from Site to</t>
  </si>
  <si>
    <t>Distance one way (km)</t>
  </si>
  <si>
    <t>Storage site for major modules</t>
  </si>
  <si>
    <t>Storage site for WTP, GPF, camp, power modules</t>
  </si>
  <si>
    <t>Storage site for portable buildings and tanks</t>
  </si>
  <si>
    <t>Storage site for skids</t>
  </si>
  <si>
    <t>Storage site for diesel generator</t>
  </si>
  <si>
    <t>Dams for level measurement</t>
  </si>
  <si>
    <t>Disposal site for concrete</t>
  </si>
  <si>
    <t>Disposal site for asphalt</t>
  </si>
  <si>
    <t>Disposal site for steel, electrical refuse</t>
  </si>
  <si>
    <t>Disposal site for incidental waste</t>
  </si>
  <si>
    <t>Disposal of solid salt</t>
  </si>
  <si>
    <t>Disposal of oily soil</t>
  </si>
  <si>
    <t>Disposal to local landfill</t>
  </si>
  <si>
    <t>Disposal site for liquid waste</t>
  </si>
  <si>
    <t>Re-use site for gravel</t>
  </si>
  <si>
    <t>LNG Demolition area to port</t>
  </si>
  <si>
    <t>Concrete re-use area at LNG facilities</t>
  </si>
  <si>
    <t>Land Amendment Distances</t>
  </si>
  <si>
    <t>Electrical cable, pipeline, piping and fittings</t>
  </si>
  <si>
    <t>Application Rate used</t>
  </si>
  <si>
    <t>Source (one way)</t>
  </si>
  <si>
    <t>t/ha</t>
  </si>
  <si>
    <t>User selected application rate only changes the rate in the General Land rehabilitation sheet. It will not change the Default Rates in Main.</t>
  </si>
  <si>
    <t>Application rates informed by Recycled Organics in Mine Site Rehabilitation - A review of the scientific literature (Dr Georgina Kelly, 2006) and Estimated Rehabilitation Costs for Topsoil Treatments at Coal Mines in Queensland (Business Coal Centre, 2021)</t>
  </si>
  <si>
    <t>Organics including biosolids, manure, mulch, compost and sugar cane assumed sourced locally.</t>
  </si>
  <si>
    <t>MSW = Municipal Solids Waste</t>
  </si>
  <si>
    <t>Coefficients for Curves</t>
  </si>
  <si>
    <t>Unconventional gas plant</t>
  </si>
  <si>
    <t>Conventional gas plant</t>
  </si>
  <si>
    <t>Slope</t>
  </si>
  <si>
    <t>Intercept</t>
  </si>
  <si>
    <t>Range Low</t>
  </si>
  <si>
    <t>Range High</t>
  </si>
  <si>
    <t>Pipeline easement - full rehab - pasture</t>
  </si>
  <si>
    <t>Pipeline easement - full rehab - native</t>
  </si>
  <si>
    <t>Pipeline easement - rehab from op  width - pasture</t>
  </si>
  <si>
    <t>Pipeline easement - rehab from op  width - native</t>
  </si>
  <si>
    <t>Waste for Levy</t>
  </si>
  <si>
    <t>t/camp</t>
  </si>
  <si>
    <t>t/blg</t>
  </si>
  <si>
    <t>t/plant</t>
  </si>
  <si>
    <t>SUB-RATES</t>
  </si>
  <si>
    <t>Subrates Table 1</t>
  </si>
  <si>
    <t>Growth Media
Bitumen etc</t>
  </si>
  <si>
    <t>Fill</t>
  </si>
  <si>
    <t>Growth Media Fill
Sediment</t>
  </si>
  <si>
    <t>Growth media fleet</t>
  </si>
  <si>
    <t>Small Fleet 3</t>
  </si>
  <si>
    <t>&gt;500 m to &lt;=1000 m</t>
  </si>
  <si>
    <t>&gt;2500 m to &lt;=3000 m</t>
  </si>
  <si>
    <t>&gt;3000 m to &lt;=4000 m</t>
  </si>
  <si>
    <t>&gt;4000 m to &lt;=5000 m</t>
  </si>
  <si>
    <t>&gt;5000 m to &lt;=6000 m</t>
  </si>
  <si>
    <t>&gt;6000m</t>
  </si>
  <si>
    <t>Subrates Table 2</t>
  </si>
  <si>
    <t>Bulk Push</t>
  </si>
  <si>
    <t>&gt; 30m to &lt;= 50m push</t>
  </si>
  <si>
    <t>&gt; 50m to &lt;= 75m push</t>
  </si>
  <si>
    <t>&gt; 75m to &lt;= 100m push</t>
  </si>
  <si>
    <t>&gt; 100m to &lt;= 125m push</t>
  </si>
  <si>
    <t>&gt; 125m to &lt;= 150m push</t>
  </si>
  <si>
    <t>&gt; 150m to &lt;= 200m push</t>
  </si>
  <si>
    <t>&gt; 200m to &lt;= 250m push</t>
  </si>
  <si>
    <t>&gt; 250m to &lt;= 300m push</t>
  </si>
  <si>
    <t>&gt; 300m to &lt;= 350m push</t>
  </si>
  <si>
    <t>&gt; 350m to &lt;= 400m push</t>
  </si>
  <si>
    <t>&gt; 400m to &lt;= 450m push</t>
  </si>
  <si>
    <t>&gt; 450m to &lt;= 500m push</t>
  </si>
  <si>
    <t>Subrates Table 3</t>
  </si>
  <si>
    <t>Rip and push up bitumen, stabilised material (blue metal, aggregate etc.) and concrete slabs (roads, parking areas, roadways, slabs, paths etc.)</t>
  </si>
  <si>
    <t xml:space="preserve">Trim, rock rake &amp; deep rip </t>
  </si>
  <si>
    <t>(includes levelling / landscaping and rip in 1 direction)</t>
  </si>
  <si>
    <t>Subrates Table 4</t>
  </si>
  <si>
    <t>Rate ($/ha)</t>
  </si>
  <si>
    <t>Purchase Amendments (gate price)</t>
  </si>
  <si>
    <t>Rate ($/t)</t>
  </si>
  <si>
    <t>Disposal (gate fee and levy)</t>
  </si>
  <si>
    <t>Fee ($/t)</t>
  </si>
  <si>
    <t>Liquid disposal including load, haul, gate</t>
  </si>
  <si>
    <t>Tanks Remove and Dispose</t>
  </si>
  <si>
    <t>Process Items</t>
  </si>
  <si>
    <t>pump set</t>
  </si>
  <si>
    <t>Cut and cap of pipes existing and entering the ground</t>
  </si>
  <si>
    <t>e.g. separators, exchangers, water removal</t>
  </si>
  <si>
    <t>Major module gas</t>
  </si>
  <si>
    <t>Major module water</t>
  </si>
  <si>
    <t xml:space="preserve">Land Investigations </t>
  </si>
  <si>
    <t>Investigations one off</t>
  </si>
  <si>
    <t>Investigations by area</t>
  </si>
  <si>
    <t>Liner remove</t>
  </si>
  <si>
    <t>Liner dispose</t>
  </si>
  <si>
    <t>Dam Size Category</t>
  </si>
  <si>
    <t>Cost Decom (pad)</t>
  </si>
  <si>
    <t>Seed (ha)</t>
  </si>
  <si>
    <t>Arid (ha)</t>
  </si>
  <si>
    <t>Full Rehab needed Pasture</t>
  </si>
  <si>
    <t>Full Rehab needed Native</t>
  </si>
  <si>
    <t>Full Rehab needed Arid</t>
  </si>
  <si>
    <t>Final Rehab needed Pasture</t>
  </si>
  <si>
    <t>Final Rehab needed Native</t>
  </si>
  <si>
    <t>Final Rehab needed Arid</t>
  </si>
  <si>
    <t>Inspection only Pasture</t>
  </si>
  <si>
    <t>Inspection only Native</t>
  </si>
  <si>
    <t>Inspection only Arid</t>
  </si>
  <si>
    <t>LNG Plant Rates</t>
  </si>
  <si>
    <t>LNG Candle Flares</t>
  </si>
  <si>
    <t>flare</t>
  </si>
  <si>
    <t>LNG Ground flares</t>
  </si>
  <si>
    <t>Process Modules</t>
  </si>
  <si>
    <t>On-site constructed buildings and shelters (steel wall)</t>
  </si>
  <si>
    <t>On-site constructed buildings (brick/concrete wall)</t>
  </si>
  <si>
    <t>Piping not associated with modules</t>
  </si>
  <si>
    <t>Pipe to ground penetrations</t>
  </si>
  <si>
    <t>Crush concrete and place around site</t>
  </si>
  <si>
    <t>Rip up and dispose asphalt</t>
  </si>
  <si>
    <t>Rip up and transport gravel to re-use area</t>
  </si>
  <si>
    <t>Reshape for drainage, level, place growth media</t>
  </si>
  <si>
    <t>Investigations one off LNG Plant</t>
  </si>
  <si>
    <t>Investigations by area LNG Plant</t>
  </si>
  <si>
    <t>Waste Levy Descriptions</t>
  </si>
  <si>
    <t>Waste levy applies - Regional Zone</t>
  </si>
  <si>
    <t>Waste levy applies - Metro Zone</t>
  </si>
  <si>
    <t>Waste levy does not apply because the site is not in a waste levy zone</t>
  </si>
  <si>
    <t>Waste levy does not apply for another reason (add comments)</t>
  </si>
  <si>
    <t>Fleet Size</t>
  </si>
  <si>
    <t>Truck / shovel</t>
  </si>
  <si>
    <t>Pipeline Rehab Status</t>
  </si>
  <si>
    <t>Pipeline Fluid</t>
  </si>
  <si>
    <t>For Wells</t>
  </si>
  <si>
    <t>Tank Type</t>
  </si>
  <si>
    <t>Hor frac</t>
  </si>
  <si>
    <t>Hopper</t>
  </si>
  <si>
    <t>Tank Wall</t>
  </si>
  <si>
    <t>Liner tank</t>
  </si>
  <si>
    <t>Contain</t>
  </si>
  <si>
    <t>Double skin</t>
  </si>
  <si>
    <t>Tanks List</t>
  </si>
  <si>
    <t>Dam Liner</t>
  </si>
  <si>
    <t>Dam Category</t>
  </si>
  <si>
    <t>Dam_contam</t>
  </si>
  <si>
    <t>Direct seeding / fertiliser (pasture grass species)</t>
  </si>
  <si>
    <t>Direct seeding / fertiliser (native tree/shrub/grass species)</t>
  </si>
  <si>
    <t>Camps List</t>
  </si>
  <si>
    <t>No camp</t>
  </si>
  <si>
    <t>Buildings List</t>
  </si>
  <si>
    <t>Tracks Laydown List</t>
  </si>
  <si>
    <t>Concrete levy</t>
  </si>
  <si>
    <t>High Level Petroleum Hydrocarbons in soil levy</t>
  </si>
  <si>
    <t>Brine / salt</t>
  </si>
  <si>
    <t>Power Poles</t>
  </si>
  <si>
    <t>Power Distribution</t>
  </si>
  <si>
    <t>Dams List</t>
  </si>
  <si>
    <t>HISTORY</t>
  </si>
  <si>
    <t xml:space="preserve">Changes </t>
  </si>
  <si>
    <t>Live</t>
  </si>
  <si>
    <t>Version</t>
  </si>
  <si>
    <t>Live date</t>
  </si>
  <si>
    <t>1. Macro issue.  No impact on user version.</t>
  </si>
  <si>
    <t>2. Unlined dams - calculation fix.</t>
  </si>
  <si>
    <t>3. GPF - gravel copy down fix.</t>
  </si>
  <si>
    <t>4. Pipelines - cut and cap revised to ends from per km.</t>
  </si>
  <si>
    <t>5. Pipelines - added removal activity to above ground pipelines.</t>
  </si>
  <si>
    <t>6. Seismic in main - edited wording to make clear the lengths is that estimated</t>
  </si>
  <si>
    <t>to require rehabilitation (not the total length).  This is now consistent with the</t>
  </si>
  <si>
    <t>Seismic input sheet.</t>
  </si>
  <si>
    <t>7. Infrastructure - minor fix to default road thickness and length to replace.</t>
  </si>
  <si>
    <t>8. GPF/oil storage - fix cell reference in GPF table.</t>
  </si>
  <si>
    <t>Fixed sum error in LNG plants</t>
  </si>
  <si>
    <t>Fixed sum range error in LNG plants table in Main</t>
  </si>
  <si>
    <t>Fixed sum range in Infrastructure Input sheet</t>
  </si>
  <si>
    <t>2H2021</t>
  </si>
  <si>
    <t>Major Review</t>
  </si>
  <si>
    <t>Rates reviewed and updated.</t>
  </si>
  <si>
    <t>Reworking of Input sheets to make consistent with spatial data requirements.</t>
  </si>
  <si>
    <t>Repaired waste levy reference error in Main.</t>
  </si>
  <si>
    <t>Removed extraneous rows in Main sheet</t>
  </si>
  <si>
    <t>Vertical, Steel, Open top, Earth, Lined, Single skin</t>
  </si>
  <si>
    <t>Vertical, Steel, Closed top, Steel, Not lined, Single skin</t>
  </si>
  <si>
    <t>Concrete Ring, Steel, Open top, Earth, Lined, Single skin</t>
  </si>
  <si>
    <t>Horizontal, Steel, Closed top, Skid, Not lined, Single skin</t>
  </si>
  <si>
    <t>Panel, Concrete, Open top, Earth, Lined, Single skin</t>
  </si>
  <si>
    <t>Rainwater, Plastic, Closed top, Plastic, Not lined, Single skin</t>
  </si>
  <si>
    <t>Hopper, Steel, Closed top, Steel, Not lined, Single skin</t>
  </si>
  <si>
    <t>Temporary camp - &gt; 100 and &lt;= 150 persons</t>
  </si>
  <si>
    <t>Temporary camp - &gt; 150 and &lt;= 200 persons</t>
  </si>
  <si>
    <t>Temporary camp - &gt; 250 and &lt;= 300 persons</t>
  </si>
  <si>
    <t>Temporary camp - &gt; 300 and &lt;= 400 persons</t>
  </si>
  <si>
    <t>Temporary camp - &gt; 400 and &lt;= 500 persons</t>
  </si>
  <si>
    <t>Temporary camp - &gt; 500 and &lt;= 750 persons</t>
  </si>
  <si>
    <t>Temporary camp - &gt; 750 and &lt;= 1000 persons</t>
  </si>
  <si>
    <t>Temporary camp - &gt; 1000 and &lt;= 2000 persons</t>
  </si>
  <si>
    <t>Temporary camp - &gt; 2000 and &lt;= 3000 persons</t>
  </si>
  <si>
    <t>Temporary camp - &gt; 3000 and &lt;= 4000 persons</t>
  </si>
  <si>
    <t>Permanent camp - &gt; 20 and &lt;= 50 persons</t>
  </si>
  <si>
    <t>Permanent camp - &gt; 50 and &lt;= 100 persons</t>
  </si>
  <si>
    <t>Permanent camp - &gt; 100 and &lt;= 150 persons</t>
  </si>
  <si>
    <t>Permanent camp - &gt; 150 and &lt;= 200 persons</t>
  </si>
  <si>
    <t>Permanent camp - &gt; 200 and &lt;= 250 persons</t>
  </si>
  <si>
    <t>Permanent camp - &gt; 250 and &lt;= 300 persons</t>
  </si>
  <si>
    <t>Permanent camp - &gt; 300 and &lt;= 400 persons</t>
  </si>
  <si>
    <t>Permanent camp - &gt; 400 and &lt;= 500 persons</t>
  </si>
  <si>
    <t>Permanent camp - &gt; 500 and &lt;= 750 persons</t>
  </si>
  <si>
    <t>Permanent camp - &gt; 1000 and &lt;= 2000 persons</t>
  </si>
  <si>
    <t>Permanent camp - &gt; 2000 and &lt;= 3000 persons</t>
  </si>
  <si>
    <t>Permanent camp - &gt; 3000 and &lt;= 4000 persons</t>
  </si>
  <si>
    <t>Small, Brick wall, Steel roof, Concrete floor, 1 floors</t>
  </si>
  <si>
    <t>Large, Brick wall, Steel roof, Concrete floor, 1 floors</t>
  </si>
  <si>
    <t>Large, Steel wall, Steel roof, Concrete floor, 1 floors</t>
  </si>
  <si>
    <t>Small, Steel wall, Steel roof, Concrete floor, 1 floors</t>
  </si>
  <si>
    <t>Small, Steel wall, Steel roof, Concrete floor, 2 floors</t>
  </si>
  <si>
    <t>Portable skid mounted, portable building</t>
  </si>
  <si>
    <t>Track, Earthen, No replace, 3 m wide, Pasture</t>
  </si>
  <si>
    <t>Track, Earthen, No replace, 3 m wide, Native</t>
  </si>
  <si>
    <t>Track, Earthen, No replace, 3 m wide, Arid</t>
  </si>
  <si>
    <t>Track, Earthen, No replace, 6 m wide, Pasture</t>
  </si>
  <si>
    <t>Track, Earthen, No replace, 6 m wide, Native</t>
  </si>
  <si>
    <t>Track, Earthen, No replace, 6 m wide, Arid</t>
  </si>
  <si>
    <t>Track, Rock, No replace, 3 m wide, Pasture</t>
  </si>
  <si>
    <t>Track, Rock, No replace, 3 m wide, Native</t>
  </si>
  <si>
    <t>Track, Rock, No replace, 3 m wide, Arid</t>
  </si>
  <si>
    <t>Track, Rock, No replace, 6 m wide, Pasture</t>
  </si>
  <si>
    <t>Track, Rock, No replace, 6 m wide, Native</t>
  </si>
  <si>
    <t>Track, Rock, No replace, 6 m wide, Arid</t>
  </si>
  <si>
    <t>Track, Rock, Replace rock, 3 m wide, Pasture</t>
  </si>
  <si>
    <t>Track, Rock, Replace rock, 3 m wide, Native</t>
  </si>
  <si>
    <t>Track, Rock, Replace rock, 3 m wide, Arid</t>
  </si>
  <si>
    <t>Track, Rock, Replace rock, 6 m wide, Pasture</t>
  </si>
  <si>
    <t>Track, Rock, Replace rock, 6 m wide, Native</t>
  </si>
  <si>
    <t>Track, Rock, Replace rock, 6 m wide, Arid</t>
  </si>
  <si>
    <t>Haul Road, Earthen, No replace, 25 m wide, Pasture</t>
  </si>
  <si>
    <t>Haul Road, Earthen, No replace, 25 m wide, Native</t>
  </si>
  <si>
    <t>Haul Road, Earthen, No replace, 25 m wide, Arid</t>
  </si>
  <si>
    <t>Haul Road, Rock, No replace, 25 m wide, Pasture</t>
  </si>
  <si>
    <t>Haul Road, Rock, No replace, 25 m wide, Native</t>
  </si>
  <si>
    <t>Haul Road, Rock, No replace, 25 m wide, Arid</t>
  </si>
  <si>
    <t>Haul Road, Rock, Remove contam only, 25 m wide, Pasture</t>
  </si>
  <si>
    <t>Haul Road, Rock, Remove contam only, 25 m wide, Native</t>
  </si>
  <si>
    <t>Haul Road, Rock, Remove contam only, 25 m wide, Arid</t>
  </si>
  <si>
    <t>Haul Road, Rock, Replace rock, 25 m wide, Pasture</t>
  </si>
  <si>
    <t>Haul Road, Rock, Replace rock, 25 m wide, Native</t>
  </si>
  <si>
    <t>Haul Road, Rock, Replace rock, 25 m wide, Arid</t>
  </si>
  <si>
    <t>Laydown, Earthen, No replace, Pasture</t>
  </si>
  <si>
    <t>Laydown, Earthen, No replace, Native</t>
  </si>
  <si>
    <t>Laydown, Earthen, No replace, Arid</t>
  </si>
  <si>
    <t>Laydown, Rock, No replace, Pasture</t>
  </si>
  <si>
    <t>Laydown, Rock, No replace, Native</t>
  </si>
  <si>
    <t>Laydown, Rock, No replace, Arid</t>
  </si>
  <si>
    <t>Borrow Pit, Pasture</t>
  </si>
  <si>
    <t>Borrow Pit, Native</t>
  </si>
  <si>
    <t>Borrow Pit, Arid</t>
  </si>
  <si>
    <t>Track, Earthen, No replace, Pasture</t>
  </si>
  <si>
    <t>Track, Earthen, No replace, Native</t>
  </si>
  <si>
    <t>Track, Earthen, No replace, Arid</t>
  </si>
  <si>
    <t>Track, Rock, No replace, Pasture</t>
  </si>
  <si>
    <t>Track, Rock, No replace, Native</t>
  </si>
  <si>
    <t>Track, Rock, No replace, Arid</t>
  </si>
  <si>
    <t>Track, Rock, Replace rock, Pasture</t>
  </si>
  <si>
    <t>Track, Rock, Replace rock, Native</t>
  </si>
  <si>
    <t>Track, Rock, Replace rock, Arid</t>
  </si>
  <si>
    <t>Conventional oil, Plugged and abandoned, Single well - arid</t>
  </si>
  <si>
    <t>Conventional oil, Suspended, Single well - arid</t>
  </si>
  <si>
    <t>Conventional oil, Shut-in, Single well - arid</t>
  </si>
  <si>
    <t>Conventional oil, Appraisal / development, Single well - arid</t>
  </si>
  <si>
    <t>Conventional oil, Operation / Production, Single well, Beam Pump - arid</t>
  </si>
  <si>
    <t>Conventional oil, Operation / Production, Single well, No Beam Pump - arid</t>
  </si>
  <si>
    <t>Conventional oil, Beam Pump only - arid</t>
  </si>
  <si>
    <t>Conventional gas, Plugged and abandoned, Single well - arid</t>
  </si>
  <si>
    <t>Conventional gas, Suspended, Single well - arid</t>
  </si>
  <si>
    <t>Conventional gas, Shut-in, Single well - arid</t>
  </si>
  <si>
    <t>Conventional gas, Appraisal / development, Single well - arid</t>
  </si>
  <si>
    <t>Conventional gas, Operation / Production, Single well - arid</t>
  </si>
  <si>
    <t>Conventional gas, Operation / Production, &lt;= 4 wells well - arid</t>
  </si>
  <si>
    <t>Conventional gas, Operation / Production, &gt; 4 wells well - arid</t>
  </si>
  <si>
    <t>Coal seam gas, Plugged and abandoned, Single well - arid</t>
  </si>
  <si>
    <t>Coal seam gas, Suspended, Single well - arid</t>
  </si>
  <si>
    <t>Coal seam gas, Shut-in, Single well - arid</t>
  </si>
  <si>
    <t>Coal seam gas, Appraisal / development, Single well - arid</t>
  </si>
  <si>
    <t>Coal seam gas, Operation / Production, Single well - arid</t>
  </si>
  <si>
    <t>Coal seam gas, Appraisal / development, &lt;= 4 wells well - arid</t>
  </si>
  <si>
    <t>Coal seam gas, Operation / Production, &lt;= 4 wells well - arid</t>
  </si>
  <si>
    <t>Coal seam gas, Appraisal / development, &gt; 4 wells well - arid</t>
  </si>
  <si>
    <t>Coal seam gas, Operation / Production, &gt; 4 wells well - arid</t>
  </si>
  <si>
    <t>Tight / shale gas, Plugged and abandoned, Single well - arid</t>
  </si>
  <si>
    <t>Tight / shale gas, Suspended, Single well - arid</t>
  </si>
  <si>
    <t>Tight / shale gas, Shut-in, Single well - arid</t>
  </si>
  <si>
    <t>Tight / shale gas, Appraisal / development, Single well - arid</t>
  </si>
  <si>
    <t>Tight / shale gas, Operation / Production, Single well - arid</t>
  </si>
  <si>
    <t>Tight / shale gas, Operation / Production, &lt;= 4 wells well - arid</t>
  </si>
  <si>
    <t>Tight / shale gas, Operation / Production, &gt; 4 wells well - arid</t>
  </si>
  <si>
    <t>Conventional oil, Corehole, Single well - arid</t>
  </si>
  <si>
    <t>Coal seam gas, Corehole, Single well - arid</t>
  </si>
  <si>
    <t>Tight / shale gas, Corehole, Single well - arid</t>
  </si>
  <si>
    <t>LNG Plant 2 train</t>
  </si>
  <si>
    <t>LNG Plant 3 train</t>
  </si>
  <si>
    <t>Power generation - gas 3 MW</t>
  </si>
  <si>
    <t>Power generation - gas 12 MW</t>
  </si>
  <si>
    <t>Power generation - gas 24 MW</t>
  </si>
  <si>
    <t>Power generation - gas 36 MW</t>
  </si>
  <si>
    <t>&gt; 0 and &lt;= 1 ML</t>
  </si>
  <si>
    <t>&gt; 1 and &lt;= 3.5 ML</t>
  </si>
  <si>
    <t>&gt; 3.5 and &lt;= 7.5 ML</t>
  </si>
  <si>
    <t>&gt; 7.5 and &lt;= 10 ML</t>
  </si>
  <si>
    <t>&gt; 10 and &lt;= 20 ML</t>
  </si>
  <si>
    <t>&gt; 20 and &lt;= 50 ML</t>
  </si>
  <si>
    <t>&gt; 50 and &lt;= 100 ML</t>
  </si>
  <si>
    <t>&gt; 100 and &lt;= 200 ML</t>
  </si>
  <si>
    <t>&gt; 200 and &lt;= 300 ML</t>
  </si>
  <si>
    <t>&gt; 300 and &lt;= 500 ML</t>
  </si>
  <si>
    <t>&gt; 500 and &lt;= 1000 ML</t>
  </si>
  <si>
    <t>&gt; 1000 and &lt;= 2000 ML</t>
  </si>
  <si>
    <t>&gt; 2000 and &lt;= 3000 ML</t>
  </si>
  <si>
    <t>&gt; 3000 and &lt;= 4000 ML</t>
  </si>
  <si>
    <t>&gt; 4000 and &lt;= 5000 ML</t>
  </si>
  <si>
    <t>Contaminated, Lined &gt; 0 and &lt;= 1 ML, Pasture</t>
  </si>
  <si>
    <t>Contaminated, Lined &gt; 1 and &lt;= 3.5 ML, Pasture</t>
  </si>
  <si>
    <t>Contaminated, Lined &gt; 3.5 and &lt;= 7.5 ML, Pasture</t>
  </si>
  <si>
    <t>Contaminated, Lined &gt; 7.5 and &lt;= 10 ML, Pasture</t>
  </si>
  <si>
    <t>Contaminated, Lined &gt; 10 and &lt;= 20 ML, Pasture</t>
  </si>
  <si>
    <t>Contaminated, Lined &gt; 20 and &lt;= 50 ML, Pasture</t>
  </si>
  <si>
    <t>Contaminated, Lined &gt; 50 and &lt;= 100 ML, Pasture</t>
  </si>
  <si>
    <t>Contaminated, Lined &gt; 100 and &lt;= 200 ML, Pasture</t>
  </si>
  <si>
    <t>Contaminated, Lined &gt; 200 and &lt;= 300 ML, Pasture</t>
  </si>
  <si>
    <t>Contaminated, Lined &gt; 300 and &lt;= 500 ML, Pasture</t>
  </si>
  <si>
    <t>Contaminated, Lined &gt; 500 and &lt;= 1000 ML, Pasture</t>
  </si>
  <si>
    <t>Contaminated, Lined &gt; 1000 and &lt;= 2000 ML, Pasture</t>
  </si>
  <si>
    <t>Contaminated, Lined &gt; 2000 and &lt;= 3000 ML, Pasture</t>
  </si>
  <si>
    <t>Contaminated, Lined &gt; 3000 and &lt;= 4000 ML, Pasture</t>
  </si>
  <si>
    <t>Contaminated, Lined &gt; 4000 and &lt;= 5000 ML, Pasture</t>
  </si>
  <si>
    <t>Contaminated, Lined &gt; 0 and &lt;= 1 ML, Native</t>
  </si>
  <si>
    <t>Contaminated, Lined &gt; 1 and &lt;= 3.5 ML, Native</t>
  </si>
  <si>
    <t>Contaminated, Lined &gt; 3.5 and &lt;= 7.5 ML, Native</t>
  </si>
  <si>
    <t>Contaminated, Lined &gt; 7.5 and &lt;= 10 ML, Native</t>
  </si>
  <si>
    <t>Contaminated, Lined &gt; 10 and &lt;= 20 ML, Native</t>
  </si>
  <si>
    <t>Contaminated, Lined &gt; 20 and &lt;= 50 ML, Native</t>
  </si>
  <si>
    <t>Contaminated, Lined &gt; 50 and &lt;= 100 ML, Native</t>
  </si>
  <si>
    <t>Contaminated, Lined &gt; 100 and &lt;= 200 ML, Native</t>
  </si>
  <si>
    <t>Contaminated, Lined &gt; 200 and &lt;= 300 ML, Native</t>
  </si>
  <si>
    <t>Contaminated, Lined &gt; 300 and &lt;= 500 ML, Native</t>
  </si>
  <si>
    <t>Contaminated, Lined &gt; 500 and &lt;= 1000 ML, Native</t>
  </si>
  <si>
    <t>Contaminated, Lined &gt; 1000 and &lt;= 2000 ML, Native</t>
  </si>
  <si>
    <t>Contaminated, Lined &gt; 2000 and &lt;= 3000 ML, Native</t>
  </si>
  <si>
    <t>Contaminated, Lined &gt; 3000 and &lt;= 4000 ML, Native</t>
  </si>
  <si>
    <t>Contaminated, Lined &gt; 4000 and &lt;= 5000 ML, Native</t>
  </si>
  <si>
    <t>Contaminated, Lined &gt; 0 and &lt;= 1 ML, Arid</t>
  </si>
  <si>
    <t>Contaminated, Lined &gt; 1 and &lt;= 3.5 ML, Arid</t>
  </si>
  <si>
    <t>Contaminated, Lined &gt; 3.5 and &lt;= 7.5 ML, Arid</t>
  </si>
  <si>
    <t>Contaminated, Lined &gt; 7.5 and &lt;= 10 ML, Arid</t>
  </si>
  <si>
    <t>Contaminated, Lined &gt; 10 and &lt;= 20 ML, Arid</t>
  </si>
  <si>
    <t>Contaminated, Lined &gt; 20 and &lt;= 50 ML, Arid</t>
  </si>
  <si>
    <t>Contaminated, Lined &gt; 50 and &lt;= 100 ML, Arid</t>
  </si>
  <si>
    <t>Contaminated, Lined &gt; 100 and &lt;= 200 ML, Arid</t>
  </si>
  <si>
    <t>Contaminated, Lined &gt; 200 and &lt;= 300 ML, Arid</t>
  </si>
  <si>
    <t>Contaminated, Lined &gt; 300 and &lt;= 500 ML, Arid</t>
  </si>
  <si>
    <t>Contaminated, Lined &gt; 500 and &lt;= 1000 ML, Arid</t>
  </si>
  <si>
    <t>Contaminated, Lined &gt; 1000 and &lt;= 2000 ML, Arid</t>
  </si>
  <si>
    <t>Contaminated, Lined &gt; 2000 and &lt;= 3000 ML, Arid</t>
  </si>
  <si>
    <t>Contaminated, Lined &gt; 3000 and &lt;= 4000 ML, Arid</t>
  </si>
  <si>
    <t>Contaminated, Lined &gt; 4000 and &lt;= 5000 ML, Arid</t>
  </si>
  <si>
    <t>Clean, Lined &gt; 0 and &lt;= 1 ML, Pasture</t>
  </si>
  <si>
    <t>Clean, Lined &gt; 1 and &lt;= 3.5 ML, Pasture</t>
  </si>
  <si>
    <t>Clean, Lined &gt; 3.5 and &lt;= 7.5 ML, Pasture</t>
  </si>
  <si>
    <t>Clean, Lined &gt; 7.5 and &lt;= 10 ML, Pasture</t>
  </si>
  <si>
    <t>Clean, Lined &gt; 10 and &lt;= 20 ML, Pasture</t>
  </si>
  <si>
    <t>Clean, Lined &gt; 20 and &lt;= 50 ML, Pasture</t>
  </si>
  <si>
    <t>Clean, Lined &gt; 50 and &lt;= 100 ML, Pasture</t>
  </si>
  <si>
    <t>Clean, Lined &gt; 100 and &lt;= 200 ML, Pasture</t>
  </si>
  <si>
    <t>Clean, Lined &gt; 200 and &lt;= 300 ML, Pasture</t>
  </si>
  <si>
    <t>Clean, Lined &gt; 300 and &lt;= 500 ML, Pasture</t>
  </si>
  <si>
    <t>Clean, Lined &gt; 500 and &lt;= 1000 ML, Pasture</t>
  </si>
  <si>
    <t>Clean, Lined &gt; 1000 and &lt;= 2000 ML, Pasture</t>
  </si>
  <si>
    <t>Clean, Lined &gt; 2000 and &lt;= 3000 ML, Pasture</t>
  </si>
  <si>
    <t>Clean, Lined &gt; 3000 and &lt;= 4000 ML, Pasture</t>
  </si>
  <si>
    <t>Clean, Lined &gt; 4000 and &lt;= 5000 ML, Pasture</t>
  </si>
  <si>
    <t>Clean, Lined &gt; 0 and &lt;= 1 ML, Native</t>
  </si>
  <si>
    <t>Clean, Lined &gt; 1 and &lt;= 3.5 ML, Native</t>
  </si>
  <si>
    <t>Clean, Lined &gt; 3.5 and &lt;= 7.5 ML, Native</t>
  </si>
  <si>
    <t>Clean, Lined &gt; 7.5 and &lt;= 10 ML, Native</t>
  </si>
  <si>
    <t>Clean, Lined &gt; 10 and &lt;= 20 ML, Native</t>
  </si>
  <si>
    <t>Clean, Lined &gt; 20 and &lt;= 50 ML, Native</t>
  </si>
  <si>
    <t>Clean, Lined &gt; 50 and &lt;= 100 ML, Native</t>
  </si>
  <si>
    <t>Clean, Lined &gt; 100 and &lt;= 200 ML, Native</t>
  </si>
  <si>
    <t>Clean, Lined &gt; 200 and &lt;= 300 ML, Native</t>
  </si>
  <si>
    <t>Clean, Lined &gt; 300 and &lt;= 500 ML, Native</t>
  </si>
  <si>
    <t>Clean, Lined &gt; 500 and &lt;= 1000 ML, Native</t>
  </si>
  <si>
    <t>Clean, Lined &gt; 1000 and &lt;= 2000 ML, Native</t>
  </si>
  <si>
    <t>Clean, Lined &gt; 2000 and &lt;= 3000 ML, Native</t>
  </si>
  <si>
    <t>Clean, Lined &gt; 3000 and &lt;= 4000 ML, Native</t>
  </si>
  <si>
    <t>Clean, Lined &gt; 4000 and &lt;= 5000 ML, Native</t>
  </si>
  <si>
    <t>Clean, Lined &gt; 0 and &lt;= 1 ML, Arid</t>
  </si>
  <si>
    <t>Clean, Lined &gt; 1 and &lt;= 3.5 ML, Arid</t>
  </si>
  <si>
    <t>Clean, Lined &gt; 3.5 and &lt;= 7.5 ML, Arid</t>
  </si>
  <si>
    <t>Clean, Lined &gt; 7.5 and &lt;= 10 ML, Arid</t>
  </si>
  <si>
    <t>Clean, Lined &gt; 10 and &lt;= 20 ML, Arid</t>
  </si>
  <si>
    <t>Clean, Lined &gt; 20 and &lt;= 50 ML, Arid</t>
  </si>
  <si>
    <t>Clean, Lined &gt; 50 and &lt;= 100 ML, Arid</t>
  </si>
  <si>
    <t>Clean, Lined &gt; 100 and &lt;= 200 ML, Arid</t>
  </si>
  <si>
    <t>Clean, Lined &gt; 200 and &lt;= 300 ML, Arid</t>
  </si>
  <si>
    <t>Clean, Lined &gt; 300 and &lt;= 500 ML, Arid</t>
  </si>
  <si>
    <t>Clean, Lined &gt; 500 and &lt;= 1000 ML, Arid</t>
  </si>
  <si>
    <t>Clean, Lined &gt; 1000 and &lt;= 2000 ML, Arid</t>
  </si>
  <si>
    <t>Clean, Lined &gt; 2000 and &lt;= 3000 ML, Arid</t>
  </si>
  <si>
    <t>Clean, Lined &gt; 3000 and &lt;= 4000 ML, Arid</t>
  </si>
  <si>
    <t>Clean, Lined &gt; 4000 and &lt;= 5000 ML, Arid</t>
  </si>
  <si>
    <t>Clean, Unlined &gt; 0 and &lt;= 1 ML, Pasture</t>
  </si>
  <si>
    <t>Clean, Unlined &gt; 1 and &lt;= 3.5 ML, Pasture</t>
  </si>
  <si>
    <t>Clean, Unlined &gt; 3.5 and &lt;= 7.5 ML, Pasture</t>
  </si>
  <si>
    <t>Clean, Unlined &gt; 7.5 and &lt;= 10 ML, Pasture</t>
  </si>
  <si>
    <t>Clean, Unlined &gt; 10 and &lt;= 20 ML, Pasture</t>
  </si>
  <si>
    <t>Clean, Unlined &gt; 20 and &lt;= 50 ML, Pasture</t>
  </si>
  <si>
    <t>Clean, Unlined &gt; 50 and &lt;= 100 ML, Pasture</t>
  </si>
  <si>
    <t>Clean, Unlined &gt; 100 and &lt;= 200 ML, Pasture</t>
  </si>
  <si>
    <t>Clean, Unlined &gt; 200 and &lt;= 300 ML, Pasture</t>
  </si>
  <si>
    <t>Clean, Unlined &gt; 300 and &lt;= 500 ML, Pasture</t>
  </si>
  <si>
    <t>Clean, Unlined &gt; 500 and &lt;= 1000 ML, Pasture</t>
  </si>
  <si>
    <t>Clean, Unlined &gt; 1000 and &lt;= 2000 ML, Pasture</t>
  </si>
  <si>
    <t>Clean, Unlined &gt; 2000 and &lt;= 3000 ML, Pasture</t>
  </si>
  <si>
    <t>Clean, Unlined &gt; 3000 and &lt;= 4000 ML, Pasture</t>
  </si>
  <si>
    <t>Clean, Unlined &gt; 4000 and &lt;= 5000 ML, Pasture</t>
  </si>
  <si>
    <t>Clean, Unlined &gt; 0 and &lt;= 1 ML, Native</t>
  </si>
  <si>
    <t>Clean, Unlined &gt; 1 and &lt;= 3.5 ML, Native</t>
  </si>
  <si>
    <t>Clean, Unlined &gt; 3.5 and &lt;= 7.5 ML, Native</t>
  </si>
  <si>
    <t>Clean, Unlined &gt; 7.5 and &lt;= 10 ML, Native</t>
  </si>
  <si>
    <t>Clean, Unlined &gt; 10 and &lt;= 20 ML, Native</t>
  </si>
  <si>
    <t>Clean, Unlined &gt; 20 and &lt;= 50 ML, Native</t>
  </si>
  <si>
    <t>Clean, Unlined &gt; 50 and &lt;= 100 ML, Native</t>
  </si>
  <si>
    <t>Clean, Unlined &gt; 100 and &lt;= 200 ML, Native</t>
  </si>
  <si>
    <t>Clean, Unlined &gt; 200 and &lt;= 300 ML, Native</t>
  </si>
  <si>
    <t>Clean, Unlined &gt; 300 and &lt;= 500 ML, Native</t>
  </si>
  <si>
    <t>Clean, Unlined &gt; 500 and &lt;= 1000 ML, Native</t>
  </si>
  <si>
    <t>Clean, Unlined &gt; 1000 and &lt;= 2000 ML, Native</t>
  </si>
  <si>
    <t>Clean, Unlined &gt; 2000 and &lt;= 3000 ML, Native</t>
  </si>
  <si>
    <t>Clean, Unlined &gt; 3000 and &lt;= 4000 ML, Native</t>
  </si>
  <si>
    <t>Clean, Unlined &gt; 4000 and &lt;= 5000 ML, Native</t>
  </si>
  <si>
    <t>Clean, Unlined &gt; 0 and &lt;= 1 ML, Arid</t>
  </si>
  <si>
    <t>Clean, Unlined &gt; 1 and &lt;= 3.5 ML, Arid</t>
  </si>
  <si>
    <t>Clean, Unlined &gt; 3.5 and &lt;= 7.5 ML, Arid</t>
  </si>
  <si>
    <t>Clean, Unlined &gt; 7.5 and &lt;= 10 ML, Arid</t>
  </si>
  <si>
    <t>Clean, Unlined &gt; 10 and &lt;= 20 ML, Arid</t>
  </si>
  <si>
    <t>Clean, Unlined &gt; 20 and &lt;= 50 ML, Arid</t>
  </si>
  <si>
    <t>Clean, Unlined &gt; 50 and &lt;= 100 ML, Arid</t>
  </si>
  <si>
    <t>Clean, Unlined &gt; 100 and &lt;= 200 ML, Arid</t>
  </si>
  <si>
    <t>Clean, Unlined &gt; 200 and &lt;= 300 ML, Arid</t>
  </si>
  <si>
    <t>Clean, Unlined &gt; 300 and &lt;= 500 ML, Arid</t>
  </si>
  <si>
    <t>Clean, Unlined &gt; 500 and &lt;= 1000 ML, Arid</t>
  </si>
  <si>
    <t>Clean, Unlined &gt; 1000 and &lt;= 2000 ML, Arid</t>
  </si>
  <si>
    <t>Clean, Unlined &gt; 2000 and &lt;= 3000 ML, Arid</t>
  </si>
  <si>
    <t>Clean, Unlined &gt; 3000 and &lt;= 4000 ML, Arid</t>
  </si>
  <si>
    <t>Clean, Unlined &gt; 4000 and &lt;= 5000 ML, Arid</t>
  </si>
  <si>
    <t>Vertical, Steel, Open top, Earth, Single skin, Lined, 1 ML</t>
  </si>
  <si>
    <t>Vertical, Steel, Open top, Earth, Single skin, Lined, 3.5 ML</t>
  </si>
  <si>
    <t>Vertical, Steel, Open top, Earth, Single skin, Lined, 7 ML</t>
  </si>
  <si>
    <t>Vertical, Steel, Open top, Earth, Single skin, Lined, 8 ML</t>
  </si>
  <si>
    <t>Vertical, Steel, Open top, Earth, Single skin, Lined, 12 ML</t>
  </si>
  <si>
    <t>Vertical, Steel, Open top, Earth, Single skin, Lined, 17 ML</t>
  </si>
  <si>
    <t>Concrete Ring, Steel, Open top, Earth, Single skin, Lined, 4 kL</t>
  </si>
  <si>
    <t>Concrete Ring, Steel, Open top, Earth, Single skin, Lined, 8 kL</t>
  </si>
  <si>
    <t>Horizontal, Steel, Closed top, Skid, Single skin, Not lined, 1.2 kL</t>
  </si>
  <si>
    <t>Horizontal, Steel, Closed top, Skid, Single skin, Not lined, 5 kL</t>
  </si>
  <si>
    <t>Horizontal, Steel, Closed top, Skid, Single skin, Not lined, 10 kL</t>
  </si>
  <si>
    <t>Horizontal, Steel, Closed top, Skid, Single skin, Not lined, 20 kL</t>
  </si>
  <si>
    <t>Horizontal, Steel, Closed top, Skid, Single skin, Not lined, 30 kL</t>
  </si>
  <si>
    <t>Horizontal, Steel, Closed top, Skid, Single skin, Not lined, 40 kL</t>
  </si>
  <si>
    <t>Horizontal, Steel, Closed top, Skid, Single skin, Not lined, 50 kL</t>
  </si>
  <si>
    <t>Horizontal, Steel, Closed top, Skid, Single skin, Not lined, 55 kL</t>
  </si>
  <si>
    <t>Horizontal, Steel, Closed top, Skid, Single skin, Not lined, 70 kL</t>
  </si>
  <si>
    <t>Horizontal, Steel, Closed top, Skid, Single skin, Not lined, 90 kL</t>
  </si>
  <si>
    <t>Horizontal, Steel, Closed top, Skid, Single skin, Not lined, 110 kL</t>
  </si>
  <si>
    <t>Vertical, Steel, Closed top, Steel, Single skin, Not lined, 100 kL</t>
  </si>
  <si>
    <t>Vertical, Steel, Closed top, Steel, Single skin, Not lined, 300 kL</t>
  </si>
  <si>
    <t>Vertical, Steel, Closed top, Steel, Single skin, Not lined, 500 kL</t>
  </si>
  <si>
    <t>Vertical, Steel, Closed top, Steel, Single skin, Not lined, 1000 kL</t>
  </si>
  <si>
    <t>Vertical, Steel, Closed top, Steel, Single skin, Not lined, 2000 kL</t>
  </si>
  <si>
    <t>Vertical, Steel, Closed top, Steel, Single skin, Not lined, 3000 kL</t>
  </si>
  <si>
    <t>Vertical, Steel, Closed top, Steel, Single skin, Not lined, 5000 kL</t>
  </si>
  <si>
    <t>Vertical, Steel, Closed top, Steel, Single skin, Not lined, 7500 kL</t>
  </si>
  <si>
    <t>Vertical, Steel, Closed top, Steel, Single skin, Not lined, 10000 kL</t>
  </si>
  <si>
    <t>Panel, Concrete, Open top, Earth, Single skin, Lined, 1.2 ML</t>
  </si>
  <si>
    <t>Panel, Concrete, Open top, Earth, Single skin, Lined, 1.9 ML</t>
  </si>
  <si>
    <t>Panel, Concrete, Open top, Earth, Single skin, Lined, 3.6 ML</t>
  </si>
  <si>
    <t>Panel, Concrete, Open top, Earth, Single skin, Lined, 5.5 ML</t>
  </si>
  <si>
    <t>Panel, Concrete, Open top, Earth, Single skin, Lined, 7.6 ML</t>
  </si>
  <si>
    <t>Panel, Concrete, Open top, Earth, Single skin, Lined, 12 ML</t>
  </si>
  <si>
    <t>Panel, Concrete, Open top, Earth, Single skin, Lined, 15.5 ML</t>
  </si>
  <si>
    <t>Panel, Concrete, Open top, Earth, Single skin, Lined, 25 ML</t>
  </si>
  <si>
    <t>Panel, Concrete, Open top, Earth, Single skin, Lined, 40 ML</t>
  </si>
  <si>
    <t>Panel, Concrete, Open top, Earth, Single skin, Lined, 50 ML</t>
  </si>
  <si>
    <t>Rainwater, Plastic, Closed top, Plastic, Single skin, Not lined, 1.5 kL</t>
  </si>
  <si>
    <t>Rainwater, Plastic, Closed top, Plastic, Single skin, Not lined, 3 kL</t>
  </si>
  <si>
    <t>Rainwater, Plastic, Closed top, Plastic, Single skin, Not lined, 5 kL</t>
  </si>
  <si>
    <t>Rainwater, Plastic, Closed top, Plastic, Single skin, Not lined, 10 kL</t>
  </si>
  <si>
    <t>Rainwater, Plastic, Closed top, Plastic, Single skin, Not lined, 13.5 kL</t>
  </si>
  <si>
    <t>Rainwater, Plastic, Closed top, Plastic, Single skin, Not lined, 18.2 kL</t>
  </si>
  <si>
    <t>Contaminated, Lined, Pasture</t>
  </si>
  <si>
    <t>Contaminated, Lined, Native</t>
  </si>
  <si>
    <t>Contaminated, Lined, Arid</t>
  </si>
  <si>
    <t>Contaminated, Unlined, Pasture</t>
  </si>
  <si>
    <t>Contaminated, Unlined, Native</t>
  </si>
  <si>
    <t>Contaminated, Unlined, Arid</t>
  </si>
  <si>
    <t>Clean, Lined, Pasture</t>
  </si>
  <si>
    <t>Clean, Lined, Native</t>
  </si>
  <si>
    <t>Clean, Lined, Arid</t>
  </si>
  <si>
    <t>Clean, Unlined, Pasture</t>
  </si>
  <si>
    <t>Clean, Unlined, Native</t>
  </si>
  <si>
    <t>Clean, Unlined, Arid</t>
  </si>
  <si>
    <t>0 to &lt;= 50 ML Contaminated, Lined, Pasture</t>
  </si>
  <si>
    <t>0 to &lt;= 50 ML Contaminated, Lined, Native</t>
  </si>
  <si>
    <t>0 to &lt;= 50 ML Contaminated, Lined, Arid</t>
  </si>
  <si>
    <t>0 to &lt;= 50 ML Contaminated, Unlined, Pasture</t>
  </si>
  <si>
    <t>0 to &lt;= 50 ML Contaminated, Unlined, Native</t>
  </si>
  <si>
    <t>0 to &lt;= 50 ML Contaminated, Unlined, Arid</t>
  </si>
  <si>
    <t>0 to &lt;= 50 ML Clean, Lined, Pasture</t>
  </si>
  <si>
    <t>0 to &lt;= 50 ML Clean, Lined, Native</t>
  </si>
  <si>
    <t>0 to &lt;= 50 ML Clean, Lined, Arid</t>
  </si>
  <si>
    <t>0 to &lt;= 50 ML Clean, Unlined, Pasture</t>
  </si>
  <si>
    <t>0 to &lt;= 50 ML Clean, Unlined, Native</t>
  </si>
  <si>
    <t>0 to &lt;= 50 ML Clean, Unlined, Arid</t>
  </si>
  <si>
    <t>&gt;50 ML to &lt;=200 ML Contaminated, Lined, Pasture</t>
  </si>
  <si>
    <t>&gt;50 ML to &lt;=200 ML Contaminated, Lined, Native</t>
  </si>
  <si>
    <t>&gt;50 ML to &lt;=200 ML Contaminated, Lined, Arid</t>
  </si>
  <si>
    <t>&gt;50 ML to &lt;=200 ML Contaminated, Unlined, Pasture</t>
  </si>
  <si>
    <t>&gt;50 ML to &lt;=200 ML Contaminated, Unlined, Native</t>
  </si>
  <si>
    <t>&gt;50 ML to &lt;=200 ML Contaminated, Unlined, Arid</t>
  </si>
  <si>
    <t>&gt;50 ML to &lt;=200 ML Clean, Lined, Pasture</t>
  </si>
  <si>
    <t>&gt;50 ML to &lt;=200 ML Clean, Lined, Native</t>
  </si>
  <si>
    <t>&gt;50 ML to &lt;=200 ML Clean, Lined, Arid</t>
  </si>
  <si>
    <t>&gt;50 ML to &lt;=200 ML Clean, Unlined, Pasture</t>
  </si>
  <si>
    <t>&gt;50 ML to &lt;=200 ML Clean, Unlined, Native</t>
  </si>
  <si>
    <t>&gt;50 ML to &lt;=200 ML Clean, Unlined, Arid</t>
  </si>
  <si>
    <t>&gt;200 ML to &lt;=1000 ML Contaminated, Lined, Pasture</t>
  </si>
  <si>
    <t>&gt;200 ML to &lt;=1000 ML Contaminated, Lined, Native</t>
  </si>
  <si>
    <t>&gt;200 ML to &lt;=1000 ML Contaminated, Lined, Arid</t>
  </si>
  <si>
    <t>&gt;200 ML to &lt;=1000 ML Contaminated, Unlined, Pasture</t>
  </si>
  <si>
    <t>&gt;200 ML to &lt;=1000 ML Contaminated, Unlined, Native</t>
  </si>
  <si>
    <t>&gt;200 ML to &lt;=1000 ML Contaminated, Unlined, Arid</t>
  </si>
  <si>
    <t>&gt;200 ML to &lt;=1000 ML Clean, Lined, Pasture</t>
  </si>
  <si>
    <t>&gt;200 ML to &lt;=1000 ML Clean, Lined, Native</t>
  </si>
  <si>
    <t>&gt;200 ML to &lt;=1000 ML Clean, Lined, Arid</t>
  </si>
  <si>
    <t>&gt;200 ML to &lt;=1000 ML Clean, Unlined, Pasture</t>
  </si>
  <si>
    <t>&gt;200 ML to &lt;=1000 ML Clean, Unlined, Native</t>
  </si>
  <si>
    <t>&gt;200 ML to &lt;=1000 ML Clean, Unlined, Arid</t>
  </si>
  <si>
    <t>&gt;1000 to &lt;=5000 ML Contaminated, Lined, Pasture</t>
  </si>
  <si>
    <t>&gt;1000 to &lt;=5000 ML Contaminated, Lined, Native</t>
  </si>
  <si>
    <t>&gt;1000 to &lt;=5000 ML Contaminated, Lined, Arid</t>
  </si>
  <si>
    <t>&gt;1000 to &lt;=5000 ML Contaminated, Unlined, Pasture</t>
  </si>
  <si>
    <t>&gt;1000 to &lt;=5000 ML Contaminated, Unlined, Native</t>
  </si>
  <si>
    <t>&gt;1000 to &lt;=5000 ML Contaminated, Unlined, Arid</t>
  </si>
  <si>
    <t>&gt;1000 to &lt;=5000 ML Clean, Lined, Pasture</t>
  </si>
  <si>
    <t>&gt;1000 to &lt;=5000 ML Clean, Lined, Native</t>
  </si>
  <si>
    <t>&gt;1000 to &lt;=5000 ML Clean, Lined, Arid</t>
  </si>
  <si>
    <t>&gt;1000 to &lt;=5000 ML Clean, Unlined, Pasture</t>
  </si>
  <si>
    <t>&gt;1000 to &lt;=5000 ML Clean, Unlined, Native</t>
  </si>
  <si>
    <t>&gt;1000 to &lt;=5000 ML Clean, Unlined, Arid</t>
  </si>
  <si>
    <t>Conventional oil, Corehole, Single well</t>
  </si>
  <si>
    <t>Coal seam gas, Corehole, Single well</t>
  </si>
  <si>
    <t>Tight / shale gas, Corehole, Single well</t>
  </si>
  <si>
    <t>Waste levy rates updated for 2023.</t>
  </si>
  <si>
    <t>Fixed error in Seismic and Infrastructure tab for temporary camp costs.</t>
  </si>
  <si>
    <t>©State of Queensland, 2024</t>
  </si>
  <si>
    <t>Changes made to alogn with the MOG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</si>
</sst>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quot;$&quot;* #,##0.00_);_(&quot;$&quot;* \(#,##0.00\);_(&quot;$&quot;* &quot;-&quot;??_);_(@_)"/>
    <numFmt numFmtId="165" formatCode="&quot;$&quot;#,##0_);\(&quot;$&quot;#,##0\)"/>
    <numFmt numFmtId="166" formatCode="_(* #,##0.00_);_(* \(#,##0.00\);_(* &quot;-&quot;??_);_(@_)"/>
    <numFmt numFmtId="167" formatCode="&quot;$&quot;#,##0.00"/>
    <numFmt numFmtId="168" formatCode="_-&quot;$&quot;* #,##0_-;\-&quot;$&quot;* #,##0_-;_-&quot;$&quot;* &quot;-&quot;??_-;_-@_-"/>
    <numFmt numFmtId="169" formatCode="_(&quot;$&quot;* #,##0_);_(&quot;$&quot;* \(#,##0\);_(&quot;$&quot;* &quot;-&quot;??_);_(@_)"/>
    <numFmt numFmtId="170" formatCode="0.0"/>
    <numFmt numFmtId="171" formatCode="&quot;$&quot;#,##0"/>
    <numFmt numFmtId="172" formatCode="0.000"/>
    <numFmt numFmtId="173" formatCode="0.0000"/>
    <numFmt numFmtId="174" formatCode="[$-C09]dd\-mmm\-yy;@"/>
    <numFmt numFmtId="175" formatCode="_-&quot;$&quot;* #,##0.0_-;\-&quot;$&quot;* #,##0.0_-;_-&quot;$&quot;* &quot;-&quot;??_-;_-@_-"/>
    <numFmt numFmtId="176" formatCode="[$-C09]dd\-mmmm\-yyyy;@"/>
    <numFmt numFmtId="177" formatCode="0.00000"/>
    <numFmt numFmtId="178" formatCode="_(&quot;$&quot;* #,##0.000_);_(&quot;$&quot;* \(#,##0.000\);_(&quot;$&quot;* &quot;-&quot;??_);_(@_)"/>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0"/>
      <name val="Arial"/>
      <family val="2"/>
    </font>
    <font>
      <b/>
      <sz val="14"/>
      <color indexed="10"/>
      <name val="Arial Black"/>
      <family val="2"/>
    </font>
    <font>
      <sz val="8"/>
      <name val="Arial"/>
      <family val="2"/>
    </font>
    <font>
      <sz val="8"/>
      <color indexed="8"/>
      <name val="Arial"/>
      <family val="2"/>
    </font>
    <font>
      <b/>
      <sz val="14"/>
      <name val="Arial"/>
      <family val="2"/>
    </font>
    <font>
      <sz val="10"/>
      <name val="Arial"/>
      <family val="2"/>
    </font>
    <font>
      <b/>
      <sz val="10"/>
      <name val="Arial"/>
      <family val="2"/>
    </font>
    <font>
      <sz val="9"/>
      <name val="Arial"/>
      <family val="2"/>
    </font>
    <font>
      <b/>
      <sz val="14"/>
      <color theme="3" tint="0.39997558519241921"/>
      <name val="Arial"/>
      <family val="2"/>
    </font>
    <font>
      <b/>
      <sz val="9"/>
      <name val="Arial"/>
      <family val="2"/>
    </font>
    <font>
      <u/>
      <sz val="10"/>
      <color indexed="12"/>
      <name val="Arial"/>
      <family val="2"/>
    </font>
    <font>
      <u/>
      <sz val="10"/>
      <name val="Arial"/>
      <family val="2"/>
    </font>
    <font>
      <sz val="10"/>
      <color indexed="10"/>
      <name val="Arial"/>
      <family val="2"/>
    </font>
    <font>
      <sz val="10"/>
      <color indexed="9"/>
      <name val="Arial Black"/>
      <family val="2"/>
    </font>
    <font>
      <sz val="10"/>
      <color indexed="9"/>
      <name val="Arial"/>
      <family val="2"/>
    </font>
    <font>
      <sz val="8"/>
      <name val="Courier New"/>
      <family val="3"/>
    </font>
    <font>
      <b/>
      <sz val="10"/>
      <name val="Courier New"/>
      <family val="3"/>
    </font>
    <font>
      <b/>
      <sz val="12"/>
      <name val="Arial"/>
      <family val="2"/>
    </font>
    <font>
      <sz val="11"/>
      <color theme="1"/>
      <name val="Arial"/>
      <family val="2"/>
    </font>
    <font>
      <sz val="9"/>
      <color theme="1"/>
      <name val="Arial"/>
      <family val="2"/>
    </font>
    <font>
      <b/>
      <sz val="9"/>
      <color rgb="FFFF0000"/>
      <name val="Arial"/>
      <family val="2"/>
    </font>
    <font>
      <sz val="12"/>
      <name val="Calibri"/>
      <family val="2"/>
      <scheme val="minor"/>
    </font>
    <font>
      <sz val="10"/>
      <name val="Calibri"/>
      <family val="2"/>
      <scheme val="minor"/>
    </font>
    <font>
      <b/>
      <sz val="10"/>
      <name val="Calibri"/>
      <family val="2"/>
      <scheme val="minor"/>
    </font>
    <font>
      <sz val="10"/>
      <color theme="1"/>
      <name val="Calibri"/>
      <family val="2"/>
      <scheme val="minor"/>
    </font>
    <font>
      <b/>
      <sz val="10"/>
      <color theme="3"/>
      <name val="Calibri"/>
      <family val="2"/>
      <scheme val="minor"/>
    </font>
    <font>
      <sz val="8"/>
      <color theme="1"/>
      <name val="Calibri"/>
      <family val="2"/>
      <scheme val="minor"/>
    </font>
    <font>
      <u/>
      <sz val="11"/>
      <color theme="10"/>
      <name val="Calibri"/>
      <family val="2"/>
      <scheme val="minor"/>
    </font>
    <font>
      <b/>
      <i/>
      <sz val="11"/>
      <name val="Calibri"/>
      <family val="2"/>
      <scheme val="minor"/>
    </font>
    <font>
      <sz val="10"/>
      <name val="Geneva"/>
    </font>
    <font>
      <sz val="11"/>
      <name val="Arial"/>
      <family val="2"/>
    </font>
    <font>
      <sz val="10"/>
      <name val="Arial"/>
      <family val="2"/>
    </font>
    <font>
      <i/>
      <sz val="10"/>
      <name val="Arial"/>
      <family val="2"/>
    </font>
    <font>
      <sz val="7"/>
      <name val="Arial"/>
      <family val="2"/>
    </font>
    <font>
      <sz val="14"/>
      <name val="Arial Black"/>
      <family val="2"/>
    </font>
    <font>
      <b/>
      <sz val="8"/>
      <name val="Arial"/>
      <family val="2"/>
    </font>
    <font>
      <b/>
      <sz val="8"/>
      <color indexed="10"/>
      <name val="Arial"/>
      <family val="2"/>
    </font>
    <font>
      <i/>
      <sz val="8"/>
      <name val="Arial"/>
      <family val="2"/>
    </font>
    <font>
      <b/>
      <sz val="8"/>
      <color indexed="9"/>
      <name val="Arial"/>
      <family val="2"/>
    </font>
    <font>
      <sz val="7"/>
      <color indexed="9"/>
      <name val="Arial"/>
      <family val="2"/>
    </font>
    <font>
      <b/>
      <sz val="9"/>
      <color theme="0"/>
      <name val="Arial"/>
      <family val="2"/>
    </font>
    <font>
      <sz val="9"/>
      <color theme="0"/>
      <name val="Arial"/>
      <family val="2"/>
    </font>
    <font>
      <i/>
      <sz val="9"/>
      <name val="Arial"/>
      <family val="2"/>
    </font>
    <font>
      <sz val="10"/>
      <color theme="0"/>
      <name val="Arial"/>
      <family val="2"/>
    </font>
    <font>
      <sz val="10"/>
      <name val="Arial"/>
      <family val="2"/>
    </font>
    <font>
      <sz val="12"/>
      <color theme="3"/>
      <name val="Calibri"/>
      <family val="2"/>
      <scheme val="minor"/>
    </font>
    <font>
      <sz val="10"/>
      <color theme="3"/>
      <name val="Calibri"/>
      <family val="2"/>
      <scheme val="minor"/>
    </font>
    <font>
      <b/>
      <sz val="10"/>
      <color theme="0"/>
      <name val="Arial"/>
      <family val="2"/>
    </font>
    <font>
      <b/>
      <sz val="8"/>
      <color theme="0"/>
      <name val="Arial"/>
      <family val="2"/>
    </font>
    <font>
      <b/>
      <sz val="11"/>
      <color theme="0"/>
      <name val="Arial"/>
      <family val="2"/>
    </font>
    <font>
      <sz val="9"/>
      <name val="Arial Black"/>
      <family val="2"/>
    </font>
    <font>
      <b/>
      <i/>
      <sz val="9"/>
      <name val="Arial"/>
      <family val="2"/>
    </font>
    <font>
      <b/>
      <sz val="18"/>
      <color rgb="FFFF0000"/>
      <name val="Arial"/>
      <family val="2"/>
    </font>
    <font>
      <b/>
      <sz val="12"/>
      <color theme="0"/>
      <name val="Arial"/>
      <family val="2"/>
    </font>
    <font>
      <b/>
      <sz val="8"/>
      <color indexed="10"/>
      <name val="Arial Black"/>
      <family val="2"/>
    </font>
    <font>
      <b/>
      <sz val="8"/>
      <name val="Arial Black"/>
      <family val="2"/>
    </font>
    <font>
      <b/>
      <sz val="8"/>
      <name val="Calibri"/>
      <family val="2"/>
      <scheme val="minor"/>
    </font>
    <font>
      <sz val="11"/>
      <color theme="0"/>
      <name val="Arial"/>
      <family val="2"/>
    </font>
    <font>
      <b/>
      <sz val="14"/>
      <color theme="0"/>
      <name val="Arial"/>
      <family val="2"/>
    </font>
    <font>
      <b/>
      <sz val="10"/>
      <name val="Arial Black"/>
      <family val="2"/>
    </font>
    <font>
      <b/>
      <sz val="14"/>
      <color theme="0"/>
      <name val="Arial Black"/>
      <family val="2"/>
    </font>
    <font>
      <b/>
      <sz val="12"/>
      <color rgb="FFFF0000"/>
      <name val="Arial"/>
      <family val="2"/>
    </font>
    <font>
      <b/>
      <sz val="11"/>
      <name val="Calibri"/>
      <family val="2"/>
    </font>
    <font>
      <b/>
      <sz val="11"/>
      <color rgb="FF3F3F3F"/>
      <name val="Calibri"/>
      <family val="2"/>
      <scheme val="minor"/>
    </font>
    <font>
      <i/>
      <sz val="10"/>
      <color rgb="FFFF0000"/>
      <name val="Arial"/>
      <family val="2"/>
    </font>
    <font>
      <b/>
      <sz val="12"/>
      <color theme="0"/>
      <name val="Calibri"/>
      <family val="2"/>
      <scheme val="minor"/>
    </font>
    <font>
      <b/>
      <i/>
      <sz val="10"/>
      <name val="Arial"/>
      <family val="2"/>
    </font>
    <font>
      <sz val="10"/>
      <color theme="2" tint="-0.249977111117893"/>
      <name val="Arial"/>
      <family val="2"/>
    </font>
    <font>
      <b/>
      <sz val="8"/>
      <color theme="3"/>
      <name val="Arial"/>
      <family val="2"/>
    </font>
    <font>
      <sz val="10"/>
      <color theme="2" tint="-0.499984740745262"/>
      <name val="Arial"/>
      <family val="2"/>
    </font>
    <font>
      <sz val="11"/>
      <color theme="3"/>
      <name val="Calibri"/>
      <family val="2"/>
      <scheme val="minor"/>
    </font>
    <font>
      <b/>
      <sz val="10"/>
      <name val="Calibri"/>
      <family val="2"/>
    </font>
    <font>
      <sz val="8"/>
      <color theme="3"/>
      <name val="Calibri"/>
      <family val="2"/>
      <scheme val="minor"/>
    </font>
    <font>
      <sz val="9"/>
      <color theme="0"/>
      <name val="Arial Black"/>
      <family val="2"/>
    </font>
    <font>
      <b/>
      <sz val="9"/>
      <color theme="7" tint="-0.249977111117893"/>
      <name val="Arial"/>
      <family val="2"/>
    </font>
    <font>
      <i/>
      <sz val="9"/>
      <color rgb="FFFF0000"/>
      <name val="Arial"/>
      <family val="2"/>
    </font>
    <font>
      <sz val="10"/>
      <color rgb="FFFF0000"/>
      <name val="Arial"/>
      <family val="2"/>
    </font>
    <font>
      <sz val="9"/>
      <color rgb="FFFF0000"/>
      <name val="Arial"/>
      <family val="2"/>
    </font>
    <font>
      <sz val="10"/>
      <color theme="3"/>
      <name val="Calibri"/>
      <family val="2"/>
    </font>
    <font>
      <b/>
      <sz val="14"/>
      <color theme="3"/>
      <name val="Arial"/>
      <family val="2"/>
    </font>
    <font>
      <sz val="9"/>
      <color theme="2" tint="-0.499984740745262"/>
      <name val="Arial"/>
      <family val="2"/>
    </font>
    <font>
      <i/>
      <sz val="8"/>
      <color rgb="FFFF0000"/>
      <name val="Arial"/>
      <family val="2"/>
    </font>
    <font>
      <sz val="8"/>
      <color theme="2" tint="-0.499984740745262"/>
      <name val="Arial"/>
      <family val="2"/>
    </font>
    <font>
      <b/>
      <sz val="9"/>
      <color theme="2" tint="-0.499984740745262"/>
      <name val="Arial"/>
      <family val="2"/>
    </font>
    <font>
      <b/>
      <sz val="11"/>
      <color theme="2" tint="-0.499984740745262"/>
      <name val="Calibri"/>
      <family val="2"/>
      <scheme val="minor"/>
    </font>
    <font>
      <sz val="10"/>
      <color theme="2"/>
      <name val="Arial"/>
      <family val="2"/>
    </font>
    <font>
      <sz val="8"/>
      <name val="Arial"/>
      <family val="2"/>
    </font>
    <font>
      <sz val="8"/>
      <color rgb="FFFF0000"/>
      <name val="Arial"/>
      <family val="2"/>
    </font>
    <font>
      <sz val="11"/>
      <color rgb="FF3F3F3F"/>
      <name val="Calibri"/>
      <family val="2"/>
      <scheme val="minor"/>
    </font>
    <font>
      <sz val="8"/>
      <color theme="0"/>
      <name val="Arial"/>
      <family val="2"/>
    </font>
    <font>
      <sz val="9"/>
      <color theme="0" tint="-0.14999847407452621"/>
      <name val="Arial"/>
      <family val="2"/>
    </font>
    <font>
      <u/>
      <sz val="9"/>
      <color indexed="12"/>
      <name val="Arial"/>
      <family val="2"/>
    </font>
  </fonts>
  <fills count="28">
    <fill>
      <patternFill patternType="none"/>
    </fill>
    <fill>
      <patternFill patternType="gray125"/>
    </fill>
    <fill>
      <patternFill patternType="solid">
        <fgColor rgb="FFF2F2F2"/>
      </patternFill>
    </fill>
    <fill>
      <patternFill patternType="solid">
        <fgColor theme="4" tint="0.79998168889431442"/>
        <bgColor indexed="65"/>
      </patternFill>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4" tint="0.39997558519241921"/>
        <bgColor indexed="64"/>
      </patternFill>
    </fill>
    <fill>
      <patternFill patternType="solid">
        <fgColor indexed="22"/>
        <bgColor indexed="55"/>
      </patternFill>
    </fill>
    <fill>
      <patternFill patternType="solid">
        <fgColor theme="6" tint="0.39997558519241921"/>
        <bgColor indexed="64"/>
      </patternFill>
    </fill>
    <fill>
      <patternFill patternType="solid">
        <fgColor theme="6" tint="-0.499984740745262"/>
        <bgColor indexed="64"/>
      </patternFill>
    </fill>
    <fill>
      <patternFill patternType="solid">
        <fgColor indexed="8"/>
        <bgColor indexed="64"/>
      </patternFill>
    </fill>
    <fill>
      <patternFill patternType="solid">
        <fgColor indexed="46"/>
        <bgColor indexed="64"/>
      </patternFill>
    </fill>
    <fill>
      <patternFill patternType="solid">
        <fgColor indexed="43"/>
        <bgColor indexed="64"/>
      </patternFill>
    </fill>
    <fill>
      <patternFill patternType="lightUp"/>
    </fill>
    <fill>
      <patternFill patternType="solid">
        <fgColor theme="9" tint="0.79998168889431442"/>
        <bgColor indexed="64"/>
      </patternFill>
    </fill>
    <fill>
      <patternFill patternType="solid">
        <fgColor theme="4"/>
        <bgColor indexed="64"/>
      </patternFill>
    </fill>
    <fill>
      <patternFill patternType="solid">
        <fgColor theme="8" tint="0.79998168889431442"/>
        <bgColor indexed="64"/>
      </patternFill>
    </fill>
    <fill>
      <patternFill patternType="solid">
        <fgColor theme="3"/>
        <bgColor indexed="64"/>
      </patternFill>
    </fill>
    <fill>
      <patternFill patternType="solid">
        <fgColor theme="9" tint="0.79995117038483843"/>
        <bgColor indexed="22"/>
      </patternFill>
    </fill>
    <fill>
      <patternFill patternType="lightDown">
        <bgColor indexed="9"/>
      </patternFill>
    </fill>
    <fill>
      <patternFill patternType="solid">
        <fgColor theme="1"/>
        <bgColor indexed="64"/>
      </patternFill>
    </fill>
    <fill>
      <patternFill patternType="solid">
        <fgColor rgb="FFFFCCCC"/>
        <bgColor indexed="64"/>
      </patternFill>
    </fill>
    <fill>
      <patternFill patternType="solid">
        <fgColor theme="9" tint="-0.249977111117893"/>
        <bgColor indexed="64"/>
      </patternFill>
    </fill>
    <fill>
      <patternFill patternType="solid">
        <fgColor rgb="FFCC99FF"/>
        <bgColor indexed="64"/>
      </patternFill>
    </fill>
    <fill>
      <patternFill patternType="solid">
        <fgColor theme="4" tint="0.59999389629810485"/>
        <bgColor indexed="64"/>
      </patternFill>
    </fill>
    <fill>
      <patternFill patternType="solid">
        <fgColor theme="9" tint="0.79998168889431442"/>
        <bgColor indexed="22"/>
      </patternFill>
    </fill>
    <fill>
      <patternFill patternType="solid">
        <fgColor indexed="65"/>
        <bgColor indexed="64"/>
      </patternFill>
    </fill>
  </fills>
  <borders count="47">
    <border>
      <left/>
      <right/>
      <top/>
      <bottom/>
      <diagonal/>
    </border>
    <border>
      <left/>
      <right/>
      <top/>
      <bottom style="thick">
        <color theme="4" tint="0.499984740745262"/>
      </bottom>
      <diagonal/>
    </border>
    <border>
      <left/>
      <right/>
      <top/>
      <bottom style="medium">
        <color theme="4" tint="0.3999755851924192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right/>
      <top style="medium">
        <color indexed="64"/>
      </top>
      <bottom style="medium">
        <color indexed="64"/>
      </bottom>
      <diagonal/>
    </border>
    <border>
      <left style="medium">
        <color auto="1"/>
      </left>
      <right/>
      <top/>
      <bottom/>
      <diagonal/>
    </border>
    <border>
      <left/>
      <right style="medium">
        <color indexed="64"/>
      </right>
      <top/>
      <bottom/>
      <diagonal/>
    </border>
    <border>
      <left/>
      <right style="medium">
        <color indexed="64"/>
      </right>
      <top style="medium">
        <color indexed="64"/>
      </top>
      <bottom style="medium">
        <color indexed="64"/>
      </bottom>
      <diagonal/>
    </border>
    <border>
      <left/>
      <right/>
      <top/>
      <bottom style="mediumDashed">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indexed="64"/>
      </left>
      <right style="medium">
        <color indexed="64"/>
      </right>
      <top/>
      <bottom style="medium">
        <color indexed="64"/>
      </bottom>
      <diagonal/>
    </border>
    <border>
      <left/>
      <right/>
      <top/>
      <bottom style="thin">
        <color theme="2" tint="-0.499984740745262"/>
      </bottom>
      <diagonal/>
    </border>
    <border>
      <left style="thin">
        <color rgb="FF3F3F3F"/>
      </left>
      <right style="thin">
        <color rgb="FF3F3F3F"/>
      </right>
      <top style="thin">
        <color rgb="FF3F3F3F"/>
      </top>
      <bottom style="thin">
        <color rgb="FF3F3F3F"/>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right/>
      <top style="thin">
        <color theme="2" tint="-0.24994659260841701"/>
      </top>
      <bottom style="thin">
        <color theme="2" tint="-0.24994659260841701"/>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theme="2" tint="-0.24994659260841701"/>
      </left>
      <right/>
      <top/>
      <bottom/>
      <diagonal/>
    </border>
    <border>
      <left style="thin">
        <color theme="2" tint="-0.499984740745262"/>
      </left>
      <right style="thin">
        <color theme="2" tint="-0.499984740745262"/>
      </right>
      <top/>
      <bottom/>
      <diagonal/>
    </border>
    <border>
      <left style="thin">
        <color indexed="64"/>
      </left>
      <right/>
      <top/>
      <bottom style="mediumDashed">
        <color indexed="64"/>
      </bottom>
      <diagonal/>
    </border>
    <border>
      <left/>
      <right style="thin">
        <color indexed="64"/>
      </right>
      <top/>
      <bottom style="mediumDashed">
        <color indexed="64"/>
      </bottom>
      <diagonal/>
    </border>
    <border>
      <left style="medium">
        <color indexed="64"/>
      </left>
      <right style="thin">
        <color indexed="64"/>
      </right>
      <top style="medium">
        <color indexed="64"/>
      </top>
      <bottom style="medium">
        <color indexed="64"/>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top/>
      <bottom style="thin">
        <color theme="2" tint="-0.499984740745262"/>
      </bottom>
      <diagonal/>
    </border>
    <border>
      <left style="thin">
        <color theme="2" tint="-0.24994659260841701"/>
      </left>
      <right style="thin">
        <color theme="2" tint="-0.24994659260841701"/>
      </right>
      <top/>
      <bottom style="thin">
        <color theme="2" tint="-0.24994659260841701"/>
      </bottom>
      <diagonal/>
    </border>
    <border>
      <left style="thin">
        <color indexed="64"/>
      </left>
      <right style="thin">
        <color theme="2" tint="-0.24994659260841701"/>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rgb="FF3F3F3F"/>
      </right>
      <top style="thin">
        <color rgb="FF3F3F3F"/>
      </top>
      <bottom/>
      <diagonal/>
    </border>
  </borders>
  <cellStyleXfs count="57">
    <xf numFmtId="0" fontId="0" fillId="0" borderId="0"/>
    <xf numFmtId="164" fontId="10" fillId="0" borderId="0" applyFont="0" applyFill="0" applyBorder="0" applyAlignment="0" applyProtection="0"/>
    <xf numFmtId="0" fontId="8" fillId="0" borderId="1" applyNumberFormat="0" applyFill="0" applyAlignment="0" applyProtection="0"/>
    <xf numFmtId="0" fontId="9" fillId="0" borderId="2"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164" fontId="10" fillId="0" borderId="0" applyFont="0" applyFill="0" applyBorder="0" applyAlignment="0" applyProtection="0"/>
    <xf numFmtId="0" fontId="20" fillId="0" borderId="0" applyNumberFormat="0" applyFill="0" applyBorder="0" applyAlignment="0" applyProtection="0">
      <alignment vertical="top"/>
      <protection locked="0"/>
    </xf>
    <xf numFmtId="0" fontId="7" fillId="0" borderId="0"/>
    <xf numFmtId="164" fontId="7" fillId="0" borderId="0" applyFont="0" applyFill="0" applyBorder="0" applyAlignment="0" applyProtection="0"/>
    <xf numFmtId="0" fontId="15" fillId="0" borderId="0" applyAlignment="0">
      <protection hidden="1"/>
    </xf>
    <xf numFmtId="9" fontId="7" fillId="0" borderId="0" applyFont="0" applyFill="0" applyBorder="0" applyAlignment="0" applyProtection="0"/>
    <xf numFmtId="0" fontId="7" fillId="3" borderId="0" applyNumberFormat="0" applyBorder="0" applyAlignment="0" applyProtection="0"/>
    <xf numFmtId="166" fontId="7" fillId="0" borderId="0" applyFont="0" applyFill="0" applyBorder="0" applyAlignment="0" applyProtection="0"/>
    <xf numFmtId="0" fontId="27" fillId="8" borderId="19"/>
    <xf numFmtId="0" fontId="15" fillId="0" borderId="12">
      <alignment horizontal="center"/>
      <protection hidden="1"/>
    </xf>
    <xf numFmtId="0" fontId="15" fillId="0" borderId="18">
      <alignment horizontal="center"/>
      <protection hidden="1"/>
    </xf>
    <xf numFmtId="0" fontId="15" fillId="0" borderId="20">
      <protection hidden="1"/>
    </xf>
    <xf numFmtId="3" fontId="15" fillId="0" borderId="18">
      <alignment horizontal="center"/>
      <protection hidden="1"/>
    </xf>
    <xf numFmtId="164" fontId="7" fillId="0" borderId="0" applyFont="0" applyFill="0" applyBorder="0" applyAlignment="0" applyProtection="0"/>
    <xf numFmtId="0" fontId="15" fillId="0" borderId="0"/>
    <xf numFmtId="0" fontId="37" fillId="0" borderId="0" applyNumberFormat="0" applyFill="0" applyBorder="0" applyAlignment="0" applyProtection="0"/>
    <xf numFmtId="0" fontId="15" fillId="0" borderId="0"/>
    <xf numFmtId="164" fontId="15" fillId="0" borderId="0" applyFont="0" applyFill="0" applyBorder="0" applyAlignment="0" applyProtection="0"/>
    <xf numFmtId="0" fontId="15" fillId="0" borderId="0"/>
    <xf numFmtId="166" fontId="15" fillId="0" borderId="0" applyFont="0" applyFill="0" applyBorder="0" applyAlignment="0" applyProtection="0"/>
    <xf numFmtId="166" fontId="7" fillId="0" borderId="0" applyFont="0" applyFill="0" applyBorder="0" applyAlignment="0" applyProtection="0"/>
    <xf numFmtId="0" fontId="7" fillId="0" borderId="0"/>
    <xf numFmtId="0" fontId="39" fillId="0" borderId="0"/>
    <xf numFmtId="9" fontId="41"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6" fillId="0" borderId="0"/>
    <xf numFmtId="0" fontId="10" fillId="0" borderId="0"/>
    <xf numFmtId="0" fontId="5" fillId="0" borderId="0"/>
    <xf numFmtId="9" fontId="10" fillId="0" borderId="0" applyFont="0" applyFill="0" applyBorder="0" applyAlignment="0" applyProtection="0"/>
    <xf numFmtId="166" fontId="10" fillId="0" borderId="0" applyFont="0" applyFill="0" applyBorder="0" applyAlignment="0" applyProtection="0"/>
    <xf numFmtId="0" fontId="10" fillId="0" borderId="12">
      <alignment horizontal="center"/>
      <protection hidden="1"/>
    </xf>
    <xf numFmtId="0" fontId="4" fillId="0" borderId="0"/>
    <xf numFmtId="164" fontId="4" fillId="0" borderId="0" applyFont="0" applyFill="0" applyBorder="0" applyAlignment="0" applyProtection="0"/>
    <xf numFmtId="9" fontId="4" fillId="0" borderId="0" applyFont="0" applyFill="0" applyBorder="0" applyAlignment="0" applyProtection="0"/>
    <xf numFmtId="166" fontId="54" fillId="0" borderId="0" applyFont="0" applyFill="0" applyBorder="0" applyAlignment="0" applyProtection="0"/>
    <xf numFmtId="0" fontId="10" fillId="0" borderId="0"/>
    <xf numFmtId="0" fontId="3" fillId="0" borderId="0"/>
    <xf numFmtId="164" fontId="10"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73" fillId="2" borderId="27" applyNumberFormat="0" applyAlignment="0" applyProtection="0"/>
    <xf numFmtId="0" fontId="2" fillId="0" borderId="0"/>
    <xf numFmtId="166" fontId="10" fillId="0" borderId="0" applyFont="0" applyFill="0" applyBorder="0" applyAlignment="0" applyProtection="0"/>
    <xf numFmtId="0" fontId="10" fillId="0" borderId="0"/>
  </cellStyleXfs>
  <cellXfs count="780">
    <xf numFmtId="0" fontId="0" fillId="0" borderId="0" xfId="0"/>
    <xf numFmtId="0" fontId="21" fillId="4" borderId="0" xfId="10" applyNumberFormat="1" applyFont="1" applyFill="1" applyBorder="1" applyAlignment="1" applyProtection="1"/>
    <xf numFmtId="0" fontId="12" fillId="15" borderId="7" xfId="0" applyFont="1" applyFill="1" applyBorder="1" applyAlignment="1" applyProtection="1">
      <alignment horizontal="center" vertical="center" wrapText="1"/>
      <protection locked="0"/>
    </xf>
    <xf numFmtId="166" fontId="0" fillId="0" borderId="0" xfId="46" applyFont="1" applyProtection="1"/>
    <xf numFmtId="2" fontId="10" fillId="15" borderId="12" xfId="0" applyNumberFormat="1" applyFont="1" applyFill="1" applyBorder="1" applyAlignment="1" applyProtection="1">
      <alignment horizontal="center" vertical="center"/>
      <protection locked="0"/>
    </xf>
    <xf numFmtId="2" fontId="55" fillId="0" borderId="0" xfId="2" applyNumberFormat="1" applyFont="1" applyFill="1" applyBorder="1" applyAlignment="1" applyProtection="1">
      <alignment horizontal="left" indent="1"/>
      <protection hidden="1"/>
    </xf>
    <xf numFmtId="169" fontId="19" fillId="0" borderId="0" xfId="1" applyNumberFormat="1" applyFont="1" applyBorder="1" applyAlignment="1" applyProtection="1">
      <alignment horizontal="center"/>
    </xf>
    <xf numFmtId="169" fontId="0" fillId="0" borderId="12" xfId="1" applyNumberFormat="1" applyFont="1" applyBorder="1" applyProtection="1"/>
    <xf numFmtId="170" fontId="0" fillId="15" borderId="12" xfId="0" applyNumberFormat="1" applyFill="1" applyBorder="1" applyAlignment="1" applyProtection="1">
      <alignment horizontal="center" vertical="center"/>
      <protection locked="0"/>
    </xf>
    <xf numFmtId="169" fontId="0" fillId="0" borderId="0" xfId="1" applyNumberFormat="1" applyFont="1" applyProtection="1"/>
    <xf numFmtId="164" fontId="17" fillId="4" borderId="0" xfId="1" applyFont="1" applyFill="1" applyBorder="1" applyAlignment="1" applyProtection="1"/>
    <xf numFmtId="164" fontId="10" fillId="4" borderId="0" xfId="1" applyFill="1" applyBorder="1" applyAlignment="1" applyProtection="1"/>
    <xf numFmtId="0" fontId="17" fillId="4" borderId="0" xfId="9" applyNumberFormat="1" applyFont="1" applyFill="1" applyBorder="1" applyAlignment="1" applyProtection="1"/>
    <xf numFmtId="164" fontId="17" fillId="4" borderId="0" xfId="1" applyFont="1" applyFill="1" applyBorder="1" applyAlignment="1" applyProtection="1">
      <alignment horizontal="left"/>
    </xf>
    <xf numFmtId="0" fontId="17" fillId="4" borderId="0" xfId="9" applyNumberFormat="1" applyFont="1" applyFill="1" applyBorder="1" applyAlignment="1" applyProtection="1">
      <alignment horizontal="left"/>
    </xf>
    <xf numFmtId="0" fontId="21" fillId="4" borderId="0" xfId="10" applyNumberFormat="1" applyFont="1" applyFill="1" applyBorder="1" applyAlignment="1" applyProtection="1">
      <alignment horizontal="left"/>
    </xf>
    <xf numFmtId="9" fontId="17" fillId="15" borderId="12" xfId="32" applyFont="1" applyFill="1" applyBorder="1" applyAlignment="1" applyProtection="1">
      <alignment horizontal="center" vertical="center"/>
      <protection locked="0"/>
    </xf>
    <xf numFmtId="2" fontId="0" fillId="15" borderId="12" xfId="0" applyNumberFormat="1" applyFill="1" applyBorder="1" applyAlignment="1" applyProtection="1">
      <alignment horizontal="center" vertical="center"/>
      <protection locked="0"/>
    </xf>
    <xf numFmtId="2" fontId="12" fillId="15" borderId="12" xfId="0" applyNumberFormat="1" applyFont="1" applyFill="1" applyBorder="1" applyAlignment="1" applyProtection="1">
      <alignment horizontal="center" vertical="center" wrapText="1"/>
      <protection locked="0"/>
    </xf>
    <xf numFmtId="2" fontId="12" fillId="15" borderId="7" xfId="0" applyNumberFormat="1" applyFont="1" applyFill="1" applyBorder="1" applyAlignment="1" applyProtection="1">
      <alignment horizontal="center" vertical="center" wrapText="1"/>
      <protection locked="0"/>
    </xf>
    <xf numFmtId="0" fontId="20" fillId="15" borderId="12" xfId="10" applyFill="1" applyBorder="1" applyAlignment="1" applyProtection="1">
      <alignment horizontal="center" vertical="center"/>
      <protection locked="0"/>
    </xf>
    <xf numFmtId="0" fontId="20" fillId="0" borderId="0" xfId="10" applyAlignment="1" applyProtection="1"/>
    <xf numFmtId="0" fontId="55" fillId="0" borderId="28" xfId="2" applyFont="1" applyFill="1" applyBorder="1" applyAlignment="1" applyProtection="1">
      <alignment horizontal="left" indent="1"/>
      <protection hidden="1"/>
    </xf>
    <xf numFmtId="2" fontId="55" fillId="0" borderId="28" xfId="32" applyNumberFormat="1" applyFont="1" applyFill="1" applyBorder="1" applyAlignment="1" applyProtection="1">
      <alignment horizontal="right"/>
      <protection hidden="1"/>
    </xf>
    <xf numFmtId="2" fontId="55" fillId="0" borderId="28" xfId="2" applyNumberFormat="1" applyFont="1" applyFill="1" applyBorder="1" applyAlignment="1" applyProtection="1">
      <alignment horizontal="left" indent="1"/>
      <protection hidden="1"/>
    </xf>
    <xf numFmtId="0" fontId="9" fillId="0" borderId="28" xfId="3" applyBorder="1" applyAlignment="1" applyProtection="1">
      <alignment horizontal="left" wrapText="1" indent="1"/>
      <protection hidden="1"/>
    </xf>
    <xf numFmtId="0" fontId="8" fillId="0" borderId="28" xfId="2" applyBorder="1" applyAlignment="1" applyProtection="1">
      <alignment horizontal="center" wrapText="1"/>
      <protection hidden="1"/>
    </xf>
    <xf numFmtId="0" fontId="8" fillId="0" borderId="28" xfId="2" applyBorder="1" applyAlignment="1" applyProtection="1">
      <alignment horizontal="centerContinuous"/>
      <protection hidden="1"/>
    </xf>
    <xf numFmtId="0" fontId="8" fillId="0" borderId="28" xfId="2" applyBorder="1" applyAlignment="1" applyProtection="1">
      <alignment horizontal="center"/>
      <protection hidden="1"/>
    </xf>
    <xf numFmtId="0" fontId="9" fillId="0" borderId="28" xfId="3" applyBorder="1" applyAlignment="1" applyProtection="1">
      <alignment horizontal="center"/>
      <protection hidden="1"/>
    </xf>
    <xf numFmtId="0" fontId="78" fillId="0" borderId="28" xfId="2" applyFont="1" applyFill="1" applyBorder="1" applyAlignment="1" applyProtection="1">
      <alignment horizontal="center"/>
      <protection hidden="1"/>
    </xf>
    <xf numFmtId="2" fontId="78" fillId="0" borderId="28" xfId="32" applyNumberFormat="1" applyFont="1" applyFill="1" applyBorder="1" applyAlignment="1" applyProtection="1">
      <alignment horizontal="center"/>
      <protection hidden="1"/>
    </xf>
    <xf numFmtId="2" fontId="55" fillId="17" borderId="28" xfId="32" applyNumberFormat="1" applyFont="1" applyFill="1" applyBorder="1" applyAlignment="1" applyProtection="1">
      <alignment horizontal="right"/>
      <protection hidden="1"/>
    </xf>
    <xf numFmtId="164" fontId="55" fillId="17" borderId="28" xfId="1" applyFont="1" applyFill="1" applyBorder="1" applyAlignment="1" applyProtection="1">
      <alignment horizontal="right"/>
      <protection hidden="1"/>
    </xf>
    <xf numFmtId="2" fontId="55" fillId="0" borderId="29" xfId="2" applyNumberFormat="1" applyFont="1" applyFill="1" applyBorder="1" applyAlignment="1" applyProtection="1">
      <alignment horizontal="left" indent="1"/>
      <protection hidden="1"/>
    </xf>
    <xf numFmtId="2" fontId="55" fillId="17" borderId="30" xfId="32" applyNumberFormat="1" applyFont="1" applyFill="1" applyBorder="1" applyAlignment="1" applyProtection="1">
      <alignment horizontal="right"/>
      <protection hidden="1"/>
    </xf>
    <xf numFmtId="0" fontId="55" fillId="0" borderId="31" xfId="2" applyFont="1" applyFill="1" applyBorder="1" applyAlignment="1" applyProtection="1">
      <alignment horizontal="left" indent="1"/>
      <protection hidden="1"/>
    </xf>
    <xf numFmtId="2" fontId="78" fillId="0" borderId="28" xfId="32" applyNumberFormat="1" applyFont="1" applyFill="1" applyBorder="1" applyAlignment="1" applyProtection="1">
      <alignment horizontal="center" vertical="center" wrapText="1"/>
      <protection hidden="1"/>
    </xf>
    <xf numFmtId="0" fontId="75" fillId="18" borderId="0" xfId="2" applyFont="1" applyFill="1" applyBorder="1" applyAlignment="1" applyProtection="1">
      <alignment horizontal="left" indent="1"/>
      <protection hidden="1"/>
    </xf>
    <xf numFmtId="1" fontId="55" fillId="17" borderId="28" xfId="40" applyNumberFormat="1" applyFont="1" applyFill="1" applyBorder="1" applyAlignment="1" applyProtection="1">
      <alignment horizontal="right"/>
      <protection hidden="1"/>
    </xf>
    <xf numFmtId="170" fontId="55" fillId="17" borderId="28" xfId="40" applyNumberFormat="1" applyFont="1" applyFill="1" applyBorder="1" applyAlignment="1" applyProtection="1">
      <alignment horizontal="right"/>
      <protection hidden="1"/>
    </xf>
    <xf numFmtId="0" fontId="55" fillId="0" borderId="0" xfId="2" applyFont="1" applyFill="1" applyBorder="1" applyAlignment="1" applyProtection="1">
      <alignment horizontal="left" indent="1"/>
      <protection hidden="1"/>
    </xf>
    <xf numFmtId="2" fontId="55" fillId="0" borderId="0" xfId="32" applyNumberFormat="1" applyFont="1" applyFill="1" applyBorder="1" applyAlignment="1" applyProtection="1">
      <alignment horizontal="right"/>
      <protection hidden="1"/>
    </xf>
    <xf numFmtId="2" fontId="78" fillId="0" borderId="0" xfId="32" applyNumberFormat="1" applyFont="1" applyFill="1" applyBorder="1" applyAlignment="1" applyProtection="1">
      <alignment horizontal="center"/>
      <protection hidden="1"/>
    </xf>
    <xf numFmtId="170" fontId="80" fillId="0" borderId="28" xfId="40" applyNumberFormat="1" applyFont="1" applyFill="1" applyBorder="1" applyAlignment="1" applyProtection="1">
      <alignment horizontal="center" vertical="center"/>
      <protection hidden="1"/>
    </xf>
    <xf numFmtId="2" fontId="55" fillId="17" borderId="28" xfId="40" applyNumberFormat="1" applyFont="1" applyFill="1" applyBorder="1" applyAlignment="1" applyProtection="1">
      <alignment horizontal="right"/>
      <protection hidden="1"/>
    </xf>
    <xf numFmtId="2" fontId="78" fillId="0" borderId="0" xfId="32" applyNumberFormat="1" applyFont="1" applyFill="1" applyBorder="1" applyAlignment="1" applyProtection="1">
      <alignment horizontal="right"/>
      <protection hidden="1"/>
    </xf>
    <xf numFmtId="177" fontId="55" fillId="17" borderId="28" xfId="40" applyNumberFormat="1" applyFont="1" applyFill="1" applyBorder="1" applyAlignment="1" applyProtection="1">
      <alignment horizontal="right"/>
      <protection hidden="1"/>
    </xf>
    <xf numFmtId="0" fontId="55" fillId="0" borderId="28" xfId="2" applyFont="1" applyBorder="1" applyAlignment="1" applyProtection="1">
      <alignment horizontal="left" indent="1"/>
      <protection hidden="1"/>
    </xf>
    <xf numFmtId="170" fontId="55" fillId="17" borderId="29" xfId="40" applyNumberFormat="1" applyFont="1" applyFill="1" applyBorder="1" applyAlignment="1" applyProtection="1">
      <alignment horizontal="right"/>
      <protection hidden="1"/>
    </xf>
    <xf numFmtId="0" fontId="0" fillId="0" borderId="0" xfId="0" applyProtection="1">
      <protection hidden="1"/>
    </xf>
    <xf numFmtId="0" fontId="73" fillId="2" borderId="27" xfId="53" applyAlignment="1" applyProtection="1">
      <alignment horizontal="center" vertical="center"/>
      <protection hidden="1"/>
    </xf>
    <xf numFmtId="170" fontId="17" fillId="15" borderId="12" xfId="38" applyNumberFormat="1" applyFont="1" applyFill="1" applyBorder="1" applyAlignment="1" applyProtection="1">
      <alignment horizontal="center" vertical="center"/>
      <protection locked="0"/>
    </xf>
    <xf numFmtId="165" fontId="17" fillId="0" borderId="12" xfId="1" applyNumberFormat="1" applyFont="1" applyFill="1" applyBorder="1" applyAlignment="1" applyProtection="1">
      <alignment horizontal="center" vertical="center"/>
    </xf>
    <xf numFmtId="169" fontId="51" fillId="16" borderId="12" xfId="1" applyNumberFormat="1" applyFont="1" applyFill="1" applyBorder="1" applyAlignment="1" applyProtection="1">
      <alignment horizontal="center" vertical="center"/>
    </xf>
    <xf numFmtId="2" fontId="17" fillId="15" borderId="12" xfId="38" applyNumberFormat="1" applyFont="1" applyFill="1" applyBorder="1" applyAlignment="1" applyProtection="1">
      <alignment horizontal="center" vertical="center"/>
      <protection locked="0"/>
    </xf>
    <xf numFmtId="170" fontId="17" fillId="15" borderId="12" xfId="38" applyNumberFormat="1" applyFont="1" applyFill="1" applyBorder="1" applyAlignment="1" applyProtection="1">
      <alignment horizontal="center" vertical="center" wrapText="1"/>
      <protection locked="0"/>
    </xf>
    <xf numFmtId="0" fontId="17" fillId="15" borderId="15" xfId="38" applyFont="1" applyFill="1" applyBorder="1" applyAlignment="1" applyProtection="1">
      <alignment vertical="center"/>
      <protection locked="0"/>
    </xf>
    <xf numFmtId="0" fontId="17" fillId="15" borderId="15" xfId="38" applyFont="1" applyFill="1" applyBorder="1" applyAlignment="1" applyProtection="1">
      <alignment horizontal="center" vertical="center"/>
      <protection locked="0"/>
    </xf>
    <xf numFmtId="0" fontId="35" fillId="0" borderId="0" xfId="2" applyFont="1" applyFill="1" applyBorder="1" applyAlignment="1" applyProtection="1">
      <alignment horizontal="left"/>
      <protection hidden="1"/>
    </xf>
    <xf numFmtId="0" fontId="35" fillId="0" borderId="0" xfId="2" applyFont="1" applyFill="1" applyBorder="1" applyAlignment="1" applyProtection="1">
      <alignment horizontal="left" indent="1"/>
      <protection hidden="1"/>
    </xf>
    <xf numFmtId="0" fontId="56" fillId="0" borderId="0" xfId="2" applyFont="1" applyFill="1" applyBorder="1" applyAlignment="1" applyProtection="1">
      <alignment horizontal="left" indent="1"/>
      <protection hidden="1"/>
    </xf>
    <xf numFmtId="0" fontId="12" fillId="15" borderId="12" xfId="0" applyFont="1" applyFill="1" applyBorder="1" applyAlignment="1" applyProtection="1">
      <alignment horizontal="left" vertical="center" wrapText="1"/>
      <protection locked="0"/>
    </xf>
    <xf numFmtId="2" fontId="12" fillId="15" borderId="3" xfId="0" applyNumberFormat="1" applyFont="1" applyFill="1" applyBorder="1" applyAlignment="1" applyProtection="1">
      <alignment horizontal="center" vertical="center" wrapText="1"/>
      <protection locked="0"/>
    </xf>
    <xf numFmtId="0" fontId="12" fillId="15" borderId="3" xfId="0" applyFont="1" applyFill="1" applyBorder="1" applyAlignment="1" applyProtection="1">
      <alignment horizontal="left" vertical="center" wrapText="1"/>
      <protection locked="0"/>
    </xf>
    <xf numFmtId="0" fontId="47" fillId="15" borderId="12" xfId="0" applyFont="1" applyFill="1" applyBorder="1" applyAlignment="1" applyProtection="1">
      <alignment horizontal="left" vertical="center" wrapText="1" indent="1"/>
      <protection locked="0"/>
    </xf>
    <xf numFmtId="0" fontId="47" fillId="15" borderId="3" xfId="0" applyFont="1" applyFill="1" applyBorder="1" applyAlignment="1" applyProtection="1">
      <alignment horizontal="left" vertical="center" wrapText="1" indent="1"/>
      <protection locked="0"/>
    </xf>
    <xf numFmtId="1" fontId="17" fillId="15" borderId="12" xfId="1" applyNumberFormat="1" applyFont="1" applyFill="1" applyBorder="1" applyAlignment="1" applyProtection="1">
      <alignment horizontal="center" vertical="center" wrapText="1"/>
      <protection locked="0"/>
    </xf>
    <xf numFmtId="0" fontId="12" fillId="13" borderId="12" xfId="0" applyFont="1" applyFill="1" applyBorder="1" applyAlignment="1" applyProtection="1">
      <alignment horizontal="left" vertical="top" wrapText="1"/>
      <protection locked="0"/>
    </xf>
    <xf numFmtId="0" fontId="12" fillId="13" borderId="17" xfId="0" applyFont="1" applyFill="1" applyBorder="1" applyAlignment="1" applyProtection="1">
      <alignment horizontal="left" vertical="top" wrapText="1"/>
      <protection locked="0"/>
    </xf>
    <xf numFmtId="0" fontId="47" fillId="15" borderId="12" xfId="0" applyFont="1" applyFill="1" applyBorder="1" applyAlignment="1" applyProtection="1">
      <alignment horizontal="left" vertical="center" wrapText="1"/>
      <protection locked="0"/>
    </xf>
    <xf numFmtId="0" fontId="12" fillId="15" borderId="5" xfId="0" applyFont="1" applyFill="1" applyBorder="1" applyAlignment="1" applyProtection="1">
      <alignment horizontal="center" vertical="center"/>
      <protection locked="0"/>
    </xf>
    <xf numFmtId="0" fontId="47" fillId="15" borderId="3" xfId="0" applyFont="1" applyFill="1" applyBorder="1" applyAlignment="1" applyProtection="1">
      <alignment horizontal="left" vertical="center" wrapText="1"/>
      <protection locked="0"/>
    </xf>
    <xf numFmtId="0" fontId="12" fillId="15" borderId="5" xfId="0" applyFont="1" applyFill="1" applyBorder="1" applyAlignment="1" applyProtection="1">
      <alignment horizontal="center" vertical="center" wrapText="1"/>
      <protection locked="0"/>
    </xf>
    <xf numFmtId="0" fontId="12" fillId="15" borderId="12" xfId="0" applyFont="1" applyFill="1" applyBorder="1" applyAlignment="1" applyProtection="1">
      <alignment wrapText="1"/>
      <protection locked="0"/>
    </xf>
    <xf numFmtId="0" fontId="12" fillId="15" borderId="3" xfId="0" applyFont="1" applyFill="1" applyBorder="1" applyAlignment="1" applyProtection="1">
      <alignment wrapText="1"/>
      <protection locked="0"/>
    </xf>
    <xf numFmtId="0" fontId="12" fillId="15" borderId="7" xfId="0" applyFont="1" applyFill="1" applyBorder="1" applyAlignment="1" applyProtection="1">
      <alignment wrapText="1"/>
      <protection locked="0"/>
    </xf>
    <xf numFmtId="0" fontId="12" fillId="15" borderId="14" xfId="0" applyFont="1" applyFill="1" applyBorder="1" applyAlignment="1" applyProtection="1">
      <alignment horizontal="left" vertical="center" wrapText="1"/>
      <protection locked="0"/>
    </xf>
    <xf numFmtId="0" fontId="12" fillId="15" borderId="0" xfId="0" applyFont="1" applyFill="1" applyAlignment="1" applyProtection="1">
      <alignment horizontal="left" vertical="center" wrapText="1"/>
      <protection locked="0"/>
    </xf>
    <xf numFmtId="0" fontId="12" fillId="15" borderId="17" xfId="0" applyFont="1" applyFill="1" applyBorder="1" applyAlignment="1" applyProtection="1">
      <alignment horizontal="center" vertical="center" wrapText="1"/>
      <protection locked="0"/>
    </xf>
    <xf numFmtId="0" fontId="12" fillId="13" borderId="3" xfId="0" applyFont="1" applyFill="1" applyBorder="1" applyAlignment="1" applyProtection="1">
      <alignment horizontal="left" vertical="top" wrapText="1"/>
      <protection locked="0"/>
    </xf>
    <xf numFmtId="0" fontId="12" fillId="15" borderId="13" xfId="0" applyFont="1" applyFill="1" applyBorder="1" applyAlignment="1" applyProtection="1">
      <alignment horizontal="left" vertical="center" wrapText="1"/>
      <protection locked="0"/>
    </xf>
    <xf numFmtId="0" fontId="12" fillId="15" borderId="8" xfId="0" applyFont="1" applyFill="1" applyBorder="1" applyAlignment="1" applyProtection="1">
      <alignment horizontal="center" vertical="center" wrapText="1"/>
      <protection locked="0"/>
    </xf>
    <xf numFmtId="0" fontId="12" fillId="13" borderId="7" xfId="0" applyFont="1" applyFill="1" applyBorder="1" applyAlignment="1" applyProtection="1">
      <alignment horizontal="left" vertical="top" wrapText="1"/>
      <protection locked="0"/>
    </xf>
    <xf numFmtId="0" fontId="47" fillId="15" borderId="7" xfId="0" applyFont="1" applyFill="1" applyBorder="1" applyAlignment="1" applyProtection="1">
      <alignment horizontal="left" vertical="center" wrapText="1"/>
      <protection locked="0"/>
    </xf>
    <xf numFmtId="0" fontId="12" fillId="13" borderId="4" xfId="0" applyFont="1" applyFill="1" applyBorder="1" applyAlignment="1" applyProtection="1">
      <alignment horizontal="left" vertical="top" wrapText="1"/>
      <protection locked="0"/>
    </xf>
    <xf numFmtId="1" fontId="55" fillId="0" borderId="28" xfId="32" applyNumberFormat="1" applyFont="1" applyFill="1" applyBorder="1" applyAlignment="1" applyProtection="1">
      <alignment horizontal="center"/>
      <protection hidden="1"/>
    </xf>
    <xf numFmtId="173" fontId="55" fillId="17" borderId="28" xfId="40" applyNumberFormat="1" applyFont="1" applyFill="1" applyBorder="1" applyAlignment="1" applyProtection="1">
      <alignment horizontal="right"/>
      <protection hidden="1"/>
    </xf>
    <xf numFmtId="0" fontId="17" fillId="15" borderId="12" xfId="1" applyNumberFormat="1" applyFont="1" applyFill="1" applyBorder="1" applyAlignment="1" applyProtection="1">
      <alignment horizontal="center" vertical="center" wrapText="1"/>
      <protection locked="0"/>
    </xf>
    <xf numFmtId="1" fontId="17" fillId="15" borderId="12" xfId="38" applyNumberFormat="1" applyFont="1" applyFill="1" applyBorder="1" applyAlignment="1" applyProtection="1">
      <alignment horizontal="center" vertical="center"/>
      <protection locked="0"/>
    </xf>
    <xf numFmtId="164" fontId="17" fillId="0" borderId="12" xfId="1" applyFont="1" applyFill="1" applyBorder="1" applyAlignment="1" applyProtection="1">
      <alignment horizontal="center" vertical="center"/>
    </xf>
    <xf numFmtId="2" fontId="12" fillId="15" borderId="5" xfId="0" applyNumberFormat="1" applyFont="1" applyFill="1" applyBorder="1" applyAlignment="1" applyProtection="1">
      <alignment horizontal="center" vertical="center" wrapText="1"/>
      <protection locked="0"/>
    </xf>
    <xf numFmtId="0" fontId="12" fillId="15" borderId="12" xfId="0" applyFont="1" applyFill="1" applyBorder="1" applyAlignment="1" applyProtection="1">
      <alignment vertical="top" wrapText="1"/>
      <protection locked="0"/>
    </xf>
    <xf numFmtId="165" fontId="17" fillId="0" borderId="16" xfId="1" applyNumberFormat="1" applyFont="1" applyFill="1" applyBorder="1" applyAlignment="1" applyProtection="1">
      <alignment horizontal="center" vertical="center"/>
    </xf>
    <xf numFmtId="0" fontId="29" fillId="26" borderId="12" xfId="11" applyFont="1" applyFill="1" applyBorder="1" applyAlignment="1" applyProtection="1">
      <alignment horizontal="left" vertical="center" wrapText="1" indent="1"/>
      <protection locked="0"/>
    </xf>
    <xf numFmtId="9" fontId="55" fillId="17" borderId="30" xfId="32" applyFont="1" applyFill="1" applyBorder="1" applyAlignment="1" applyProtection="1">
      <alignment horizontal="right"/>
      <protection hidden="1"/>
    </xf>
    <xf numFmtId="2" fontId="55" fillId="0" borderId="32" xfId="32" applyNumberFormat="1" applyFont="1" applyFill="1" applyBorder="1" applyAlignment="1" applyProtection="1">
      <alignment horizontal="right"/>
      <protection hidden="1"/>
    </xf>
    <xf numFmtId="2" fontId="55" fillId="0" borderId="30" xfId="32" applyNumberFormat="1" applyFont="1" applyFill="1" applyBorder="1" applyAlignment="1" applyProtection="1">
      <alignment horizontal="right"/>
      <protection hidden="1"/>
    </xf>
    <xf numFmtId="1" fontId="55" fillId="17" borderId="29" xfId="40" applyNumberFormat="1" applyFont="1" applyFill="1" applyBorder="1" applyAlignment="1" applyProtection="1">
      <alignment horizontal="right"/>
      <protection hidden="1"/>
    </xf>
    <xf numFmtId="0" fontId="12" fillId="13" borderId="8" xfId="0" applyFont="1" applyFill="1" applyBorder="1" applyAlignment="1" applyProtection="1">
      <alignment horizontal="left" vertical="top" wrapText="1"/>
      <protection locked="0"/>
    </xf>
    <xf numFmtId="2" fontId="20" fillId="0" borderId="28" xfId="10" applyNumberFormat="1" applyFill="1" applyBorder="1" applyAlignment="1" applyProtection="1">
      <alignment horizontal="left" indent="1"/>
      <protection hidden="1"/>
    </xf>
    <xf numFmtId="164" fontId="12" fillId="13" borderId="12" xfId="0" applyNumberFormat="1" applyFont="1" applyFill="1" applyBorder="1" applyAlignment="1" applyProtection="1">
      <alignment horizontal="center" vertical="center"/>
      <protection locked="0"/>
    </xf>
    <xf numFmtId="164" fontId="12" fillId="13" borderId="12" xfId="0" applyNumberFormat="1" applyFont="1" applyFill="1" applyBorder="1" applyAlignment="1" applyProtection="1">
      <alignment horizontal="center" vertical="center" wrapText="1"/>
      <protection locked="0"/>
    </xf>
    <xf numFmtId="164" fontId="12" fillId="13" borderId="7" xfId="0" applyNumberFormat="1" applyFont="1" applyFill="1" applyBorder="1" applyAlignment="1" applyProtection="1">
      <alignment horizontal="center" vertical="center"/>
      <protection locked="0"/>
    </xf>
    <xf numFmtId="164" fontId="12" fillId="13" borderId="3" xfId="0" applyNumberFormat="1" applyFont="1" applyFill="1" applyBorder="1" applyAlignment="1" applyProtection="1">
      <alignment horizontal="center" vertical="center" wrapText="1"/>
      <protection locked="0"/>
    </xf>
    <xf numFmtId="164" fontId="12" fillId="13" borderId="3" xfId="0" applyNumberFormat="1" applyFont="1" applyFill="1" applyBorder="1" applyAlignment="1" applyProtection="1">
      <alignment horizontal="center" vertical="center"/>
      <protection locked="0"/>
    </xf>
    <xf numFmtId="164" fontId="12" fillId="13" borderId="5" xfId="0" applyNumberFormat="1" applyFont="1" applyFill="1" applyBorder="1" applyAlignment="1" applyProtection="1">
      <alignment horizontal="center" vertical="center"/>
      <protection locked="0"/>
    </xf>
    <xf numFmtId="164" fontId="12" fillId="13" borderId="7" xfId="0" applyNumberFormat="1" applyFont="1" applyFill="1" applyBorder="1" applyAlignment="1" applyProtection="1">
      <alignment horizontal="center" vertical="center" wrapText="1"/>
      <protection locked="0"/>
    </xf>
    <xf numFmtId="1" fontId="12" fillId="15" borderId="12" xfId="0" applyNumberFormat="1" applyFont="1" applyFill="1" applyBorder="1" applyAlignment="1" applyProtection="1">
      <alignment horizontal="center" vertical="center" wrapText="1"/>
      <protection locked="0"/>
    </xf>
    <xf numFmtId="0" fontId="20" fillId="15" borderId="12" xfId="10" applyFill="1" applyBorder="1" applyAlignment="1" applyProtection="1">
      <alignment horizontal="left" vertical="center" indent="1"/>
      <protection locked="0"/>
    </xf>
    <xf numFmtId="173" fontId="55" fillId="17" borderId="29" xfId="40" applyNumberFormat="1" applyFont="1" applyFill="1" applyBorder="1" applyAlignment="1" applyProtection="1">
      <alignment horizontal="right"/>
      <protection hidden="1"/>
    </xf>
    <xf numFmtId="164" fontId="10" fillId="0" borderId="12" xfId="1" applyFont="1" applyFill="1" applyBorder="1" applyAlignment="1" applyProtection="1">
      <alignment horizontal="center" vertical="center"/>
    </xf>
    <xf numFmtId="169" fontId="17" fillId="0" borderId="0" xfId="1" applyNumberFormat="1" applyFont="1" applyFill="1" applyBorder="1" applyAlignment="1" applyProtection="1">
      <alignment horizontal="center" vertical="center"/>
    </xf>
    <xf numFmtId="164" fontId="57" fillId="16" borderId="12" xfId="1" applyFont="1" applyFill="1" applyBorder="1" applyAlignment="1" applyProtection="1">
      <alignment horizontal="center" vertical="center"/>
    </xf>
    <xf numFmtId="0" fontId="45" fillId="15" borderId="39" xfId="0" applyFont="1" applyFill="1" applyBorder="1" applyAlignment="1" applyProtection="1">
      <alignment horizontal="center" vertical="center" wrapText="1"/>
      <protection locked="0"/>
    </xf>
    <xf numFmtId="167" fontId="12" fillId="13" borderId="39" xfId="0" applyNumberFormat="1" applyFont="1" applyFill="1" applyBorder="1" applyAlignment="1" applyProtection="1">
      <alignment horizontal="center" vertical="center"/>
      <protection locked="0"/>
    </xf>
    <xf numFmtId="2" fontId="78" fillId="0" borderId="35" xfId="32" applyNumberFormat="1" applyFont="1" applyFill="1" applyBorder="1" applyAlignment="1" applyProtection="1">
      <alignment horizontal="left" vertical="center"/>
      <protection hidden="1"/>
    </xf>
    <xf numFmtId="2" fontId="17" fillId="15" borderId="15" xfId="38" applyNumberFormat="1" applyFont="1" applyFill="1" applyBorder="1" applyAlignment="1" applyProtection="1">
      <alignment horizontal="center" vertical="center"/>
      <protection locked="0"/>
    </xf>
    <xf numFmtId="2" fontId="17" fillId="15" borderId="12" xfId="1" applyNumberFormat="1" applyFont="1" applyFill="1" applyBorder="1" applyAlignment="1" applyProtection="1">
      <alignment horizontal="center" vertical="center"/>
      <protection locked="0"/>
    </xf>
    <xf numFmtId="0" fontId="12" fillId="15" borderId="7" xfId="0" applyFont="1" applyFill="1" applyBorder="1" applyAlignment="1" applyProtection="1">
      <alignment vertical="center" wrapText="1"/>
      <protection locked="0"/>
    </xf>
    <xf numFmtId="170" fontId="17" fillId="15" borderId="12" xfId="38" applyNumberFormat="1" applyFont="1" applyFill="1" applyBorder="1" applyAlignment="1" applyProtection="1">
      <alignment horizontal="left" vertical="center"/>
      <protection locked="0"/>
    </xf>
    <xf numFmtId="2" fontId="17" fillId="15" borderId="12" xfId="38" applyNumberFormat="1" applyFont="1" applyFill="1" applyBorder="1" applyAlignment="1" applyProtection="1">
      <alignment horizontal="center" vertical="center" wrapText="1"/>
      <protection locked="0"/>
    </xf>
    <xf numFmtId="172" fontId="17" fillId="15" borderId="12" xfId="38" applyNumberFormat="1" applyFont="1" applyFill="1" applyBorder="1" applyAlignment="1" applyProtection="1">
      <alignment horizontal="center" vertical="center"/>
      <protection locked="0"/>
    </xf>
    <xf numFmtId="2" fontId="0" fillId="15" borderId="12" xfId="1" applyNumberFormat="1" applyFont="1" applyFill="1" applyBorder="1" applyAlignment="1" applyProtection="1">
      <alignment horizontal="center" vertical="center"/>
      <protection locked="0"/>
    </xf>
    <xf numFmtId="2" fontId="73" fillId="2" borderId="27" xfId="53" applyNumberFormat="1" applyAlignment="1" applyProtection="1">
      <alignment horizontal="center" vertical="center"/>
      <protection hidden="1"/>
    </xf>
    <xf numFmtId="0" fontId="10" fillId="15" borderId="12" xfId="0" applyFont="1" applyFill="1" applyBorder="1" applyAlignment="1" applyProtection="1">
      <alignment horizontal="center" vertical="center"/>
      <protection locked="0"/>
    </xf>
    <xf numFmtId="0" fontId="0" fillId="15" borderId="12" xfId="0" applyFill="1" applyBorder="1" applyAlignment="1" applyProtection="1">
      <alignment horizontal="center" vertical="center"/>
      <protection locked="0"/>
    </xf>
    <xf numFmtId="164" fontId="51" fillId="16" borderId="12" xfId="1" applyFont="1" applyFill="1" applyBorder="1" applyAlignment="1" applyProtection="1">
      <alignment horizontal="center" vertical="center"/>
    </xf>
    <xf numFmtId="173" fontId="17" fillId="15" borderId="12" xfId="38" applyNumberFormat="1" applyFont="1" applyFill="1" applyBorder="1" applyAlignment="1" applyProtection="1">
      <alignment horizontal="center" vertical="center"/>
      <protection locked="0"/>
    </xf>
    <xf numFmtId="0" fontId="55" fillId="0" borderId="44" xfId="2" applyFont="1" applyBorder="1" applyAlignment="1" applyProtection="1">
      <alignment horizontal="left" indent="1"/>
      <protection hidden="1"/>
    </xf>
    <xf numFmtId="173" fontId="55" fillId="17" borderId="28" xfId="40" applyNumberFormat="1" applyFont="1" applyFill="1" applyBorder="1" applyAlignment="1" applyProtection="1">
      <alignment horizontal="center"/>
      <protection hidden="1"/>
    </xf>
    <xf numFmtId="2" fontId="55" fillId="17" borderId="28" xfId="40" applyNumberFormat="1" applyFont="1" applyFill="1" applyBorder="1" applyAlignment="1" applyProtection="1">
      <alignment horizontal="center"/>
      <protection hidden="1"/>
    </xf>
    <xf numFmtId="168" fontId="0" fillId="15" borderId="15" xfId="0" applyNumberFormat="1" applyFill="1" applyBorder="1" applyAlignment="1" applyProtection="1">
      <alignment vertical="center"/>
      <protection locked="0"/>
    </xf>
    <xf numFmtId="168" fontId="0" fillId="15" borderId="17" xfId="0" applyNumberFormat="1" applyFill="1" applyBorder="1" applyAlignment="1" applyProtection="1">
      <alignment vertical="center"/>
      <protection locked="0"/>
    </xf>
    <xf numFmtId="2" fontId="20" fillId="0" borderId="27" xfId="10" applyNumberFormat="1" applyFill="1" applyBorder="1" applyAlignment="1" applyProtection="1">
      <alignment horizontal="center" vertical="center"/>
    </xf>
    <xf numFmtId="0" fontId="20" fillId="0" borderId="12" xfId="10" applyBorder="1" applyAlignment="1" applyProtection="1">
      <alignment horizontal="center" vertical="center"/>
    </xf>
    <xf numFmtId="2" fontId="20" fillId="0" borderId="7" xfId="10" applyNumberFormat="1" applyFill="1" applyBorder="1" applyAlignment="1" applyProtection="1">
      <alignment horizontal="center" vertical="center"/>
    </xf>
    <xf numFmtId="0" fontId="17" fillId="15" borderId="12" xfId="38" applyFont="1" applyFill="1" applyBorder="1" applyAlignment="1" applyProtection="1">
      <alignment horizontal="left" vertical="center" wrapText="1"/>
      <protection locked="0"/>
    </xf>
    <xf numFmtId="0" fontId="17" fillId="15" borderId="15" xfId="38" applyFont="1" applyFill="1" applyBorder="1" applyAlignment="1" applyProtection="1">
      <alignment horizontal="left" vertical="center" wrapText="1"/>
      <protection locked="0"/>
    </xf>
    <xf numFmtId="0" fontId="17" fillId="15" borderId="15" xfId="38" applyFont="1" applyFill="1" applyBorder="1" applyAlignment="1" applyProtection="1">
      <alignment horizontal="left" vertical="center" wrapText="1" indent="1"/>
      <protection locked="0"/>
    </xf>
    <xf numFmtId="0" fontId="17" fillId="15" borderId="12" xfId="38" applyFont="1" applyFill="1" applyBorder="1" applyAlignment="1" applyProtection="1">
      <alignment horizontal="left" vertical="center" wrapText="1" indent="1"/>
      <protection locked="0"/>
    </xf>
    <xf numFmtId="0" fontId="17" fillId="15" borderId="12" xfId="38" applyFont="1" applyFill="1" applyBorder="1" applyAlignment="1" applyProtection="1">
      <alignment horizontal="left" vertical="center" wrapText="1" indent="2"/>
      <protection locked="0"/>
    </xf>
    <xf numFmtId="0" fontId="10" fillId="15" borderId="12" xfId="0" applyFont="1" applyFill="1" applyBorder="1" applyAlignment="1" applyProtection="1">
      <alignment horizontal="left" vertical="center" wrapText="1"/>
      <protection locked="0"/>
    </xf>
    <xf numFmtId="0" fontId="20" fillId="15" borderId="16" xfId="10" applyFill="1" applyBorder="1" applyAlignment="1" applyProtection="1">
      <alignment horizontal="center" vertical="center"/>
      <protection locked="0"/>
    </xf>
    <xf numFmtId="164" fontId="57" fillId="21" borderId="16" xfId="1" applyFont="1" applyFill="1" applyBorder="1" applyAlignment="1" applyProtection="1">
      <alignment vertical="center"/>
    </xf>
    <xf numFmtId="0" fontId="29" fillId="19" borderId="12" xfId="11" applyFont="1" applyFill="1" applyBorder="1" applyAlignment="1" applyProtection="1">
      <alignment horizontal="left" vertical="top" wrapText="1" indent="1"/>
      <protection locked="0"/>
    </xf>
    <xf numFmtId="0" fontId="29" fillId="19" borderId="12" xfId="11" applyFont="1" applyFill="1" applyBorder="1" applyAlignment="1" applyProtection="1">
      <alignment horizontal="left" vertical="center" wrapText="1"/>
      <protection locked="0"/>
    </xf>
    <xf numFmtId="176" fontId="29" fillId="19" borderId="12" xfId="11" applyNumberFormat="1" applyFont="1" applyFill="1" applyBorder="1" applyAlignment="1" applyProtection="1">
      <alignment horizontal="left" vertical="center" wrapText="1"/>
      <protection locked="0"/>
    </xf>
    <xf numFmtId="0" fontId="0" fillId="15" borderId="12" xfId="0" applyFill="1" applyBorder="1" applyAlignment="1" applyProtection="1">
      <alignment horizontal="left" vertical="center" wrapText="1" indent="1"/>
      <protection locked="0"/>
    </xf>
    <xf numFmtId="0" fontId="10" fillId="15" borderId="12" xfId="0" applyFont="1" applyFill="1" applyBorder="1" applyAlignment="1" applyProtection="1">
      <alignment horizontal="left" vertical="center" wrapText="1" indent="1"/>
      <protection locked="0"/>
    </xf>
    <xf numFmtId="2" fontId="17" fillId="15" borderId="12" xfId="38" applyNumberFormat="1" applyFont="1" applyFill="1" applyBorder="1" applyAlignment="1" applyProtection="1">
      <alignment horizontal="left" vertical="center" wrapText="1" indent="1"/>
      <protection locked="0"/>
    </xf>
    <xf numFmtId="0" fontId="82" fillId="0" borderId="29" xfId="2" applyFont="1" applyBorder="1" applyAlignment="1" applyProtection="1">
      <alignment horizontal="left"/>
      <protection hidden="1"/>
    </xf>
    <xf numFmtId="0" fontId="82" fillId="0" borderId="32" xfId="2" applyFont="1" applyBorder="1" applyAlignment="1" applyProtection="1">
      <alignment horizontal="left"/>
      <protection hidden="1"/>
    </xf>
    <xf numFmtId="0" fontId="82" fillId="0" borderId="30" xfId="2" applyFont="1" applyBorder="1" applyAlignment="1" applyProtection="1">
      <alignment horizontal="left"/>
      <protection hidden="1"/>
    </xf>
    <xf numFmtId="1" fontId="12" fillId="15" borderId="7" xfId="0" applyNumberFormat="1" applyFont="1" applyFill="1" applyBorder="1" applyAlignment="1" applyProtection="1">
      <alignment horizontal="center" vertical="center" wrapText="1"/>
      <protection locked="0"/>
    </xf>
    <xf numFmtId="49" fontId="12" fillId="13" borderId="12" xfId="0" applyNumberFormat="1" applyFont="1" applyFill="1" applyBorder="1" applyAlignment="1" applyProtection="1">
      <alignment horizontal="left" vertical="center" wrapText="1"/>
      <protection locked="0"/>
    </xf>
    <xf numFmtId="1" fontId="17" fillId="15" borderId="12" xfId="38" applyNumberFormat="1" applyFont="1" applyFill="1" applyBorder="1" applyAlignment="1" applyProtection="1">
      <alignment horizontal="center" vertical="center" wrapText="1"/>
      <protection locked="0"/>
    </xf>
    <xf numFmtId="164" fontId="28" fillId="19" borderId="12" xfId="1" applyFont="1" applyFill="1" applyBorder="1" applyAlignment="1" applyProtection="1">
      <alignment vertical="center"/>
      <protection locked="0"/>
    </xf>
    <xf numFmtId="0" fontId="12" fillId="15" borderId="12" xfId="0" applyFont="1" applyFill="1" applyBorder="1" applyAlignment="1" applyProtection="1">
      <alignment horizontal="center" vertical="center" wrapText="1"/>
      <protection locked="0"/>
    </xf>
    <xf numFmtId="0" fontId="12" fillId="15" borderId="3" xfId="0" applyFont="1" applyFill="1" applyBorder="1" applyAlignment="1" applyProtection="1">
      <alignment horizontal="center" vertical="center" wrapText="1"/>
      <protection locked="0"/>
    </xf>
    <xf numFmtId="172" fontId="55" fillId="17" borderId="28" xfId="40" applyNumberFormat="1" applyFont="1" applyFill="1" applyBorder="1" applyAlignment="1" applyProtection="1">
      <alignment horizontal="right"/>
      <protection hidden="1"/>
    </xf>
    <xf numFmtId="1" fontId="12" fillId="15" borderId="4" xfId="0" applyNumberFormat="1" applyFont="1" applyFill="1" applyBorder="1" applyAlignment="1" applyProtection="1">
      <alignment horizontal="center" vertical="center" wrapText="1"/>
      <protection locked="0"/>
    </xf>
    <xf numFmtId="1" fontId="12" fillId="15" borderId="5" xfId="0" applyNumberFormat="1" applyFont="1" applyFill="1" applyBorder="1" applyAlignment="1" applyProtection="1">
      <alignment horizontal="center" vertical="center" wrapText="1"/>
      <protection locked="0"/>
    </xf>
    <xf numFmtId="0" fontId="0" fillId="4" borderId="0" xfId="0" applyFill="1"/>
    <xf numFmtId="0" fontId="76" fillId="4" borderId="11" xfId="0" applyFont="1" applyFill="1" applyBorder="1" applyAlignment="1">
      <alignment vertical="center"/>
    </xf>
    <xf numFmtId="0" fontId="0" fillId="5" borderId="0" xfId="0" applyFill="1"/>
    <xf numFmtId="0" fontId="0" fillId="4" borderId="9" xfId="0" applyFill="1" applyBorder="1"/>
    <xf numFmtId="0" fontId="0" fillId="4" borderId="13" xfId="0" applyFill="1" applyBorder="1"/>
    <xf numFmtId="0" fontId="0" fillId="4" borderId="4" xfId="0" applyFill="1" applyBorder="1"/>
    <xf numFmtId="0" fontId="0" fillId="4" borderId="10" xfId="0" applyFill="1" applyBorder="1"/>
    <xf numFmtId="0" fontId="89" fillId="4" borderId="0" xfId="0" applyFont="1" applyFill="1" applyAlignment="1">
      <alignment horizontal="left" vertical="center"/>
    </xf>
    <xf numFmtId="0" fontId="18" fillId="4" borderId="0" xfId="0" applyFont="1" applyFill="1" applyAlignment="1">
      <alignment horizontal="center" vertical="center" wrapText="1"/>
    </xf>
    <xf numFmtId="0" fontId="0" fillId="4" borderId="6" xfId="0" applyFill="1" applyBorder="1"/>
    <xf numFmtId="0" fontId="19" fillId="4" borderId="0" xfId="0" applyFont="1" applyFill="1"/>
    <xf numFmtId="0" fontId="17" fillId="4" borderId="0" xfId="0" applyFont="1" applyFill="1"/>
    <xf numFmtId="0" fontId="17" fillId="4" borderId="0" xfId="0" applyFont="1" applyFill="1" applyAlignment="1">
      <alignment horizontal="left"/>
    </xf>
    <xf numFmtId="0" fontId="19" fillId="4" borderId="0" xfId="0" applyFont="1" applyFill="1" applyAlignment="1">
      <alignment horizontal="right"/>
    </xf>
    <xf numFmtId="0" fontId="10" fillId="4" borderId="0" xfId="0" applyFont="1" applyFill="1"/>
    <xf numFmtId="0" fontId="22" fillId="4" borderId="0" xfId="0" applyFont="1" applyFill="1"/>
    <xf numFmtId="0" fontId="23" fillId="0" borderId="0" xfId="0" applyFont="1" applyAlignment="1">
      <alignment vertical="center"/>
    </xf>
    <xf numFmtId="0" fontId="24" fillId="0" borderId="0" xfId="0" applyFont="1" applyAlignment="1">
      <alignment vertical="center"/>
    </xf>
    <xf numFmtId="0" fontId="23" fillId="0" borderId="0" xfId="0" applyFont="1" applyAlignment="1">
      <alignment horizontal="center" vertical="center"/>
    </xf>
    <xf numFmtId="167" fontId="17" fillId="0" borderId="0" xfId="0" applyNumberFormat="1" applyFont="1"/>
    <xf numFmtId="167" fontId="0" fillId="0" borderId="0" xfId="0" applyNumberFormat="1"/>
    <xf numFmtId="167" fontId="17" fillId="0" borderId="0" xfId="0" applyNumberFormat="1" applyFont="1" applyAlignment="1">
      <alignment horizontal="right"/>
    </xf>
    <xf numFmtId="0" fontId="14" fillId="4" borderId="0" xfId="0" applyFont="1" applyFill="1"/>
    <xf numFmtId="0" fontId="14" fillId="0" borderId="0" xfId="0" applyFont="1"/>
    <xf numFmtId="0" fontId="14" fillId="4" borderId="0" xfId="0" applyFont="1" applyFill="1" applyAlignment="1">
      <alignment horizontal="center"/>
    </xf>
    <xf numFmtId="0" fontId="17" fillId="0" borderId="0" xfId="0" applyFont="1"/>
    <xf numFmtId="0" fontId="19" fillId="0" borderId="0" xfId="0" applyFont="1" applyAlignment="1">
      <alignment vertical="center"/>
    </xf>
    <xf numFmtId="0" fontId="16" fillId="0" borderId="0" xfId="0" applyFont="1" applyAlignment="1">
      <alignment vertical="center"/>
    </xf>
    <xf numFmtId="167" fontId="19" fillId="0" borderId="0" xfId="0" applyNumberFormat="1" applyFont="1"/>
    <xf numFmtId="0" fontId="19" fillId="0" borderId="0" xfId="0" applyFont="1" applyAlignment="1">
      <alignment horizontal="left" vertical="center"/>
    </xf>
    <xf numFmtId="167" fontId="19" fillId="0" borderId="0" xfId="0" applyNumberFormat="1" applyFont="1" applyAlignment="1">
      <alignment horizontal="right"/>
    </xf>
    <xf numFmtId="167" fontId="16" fillId="0" borderId="0" xfId="0" applyNumberFormat="1" applyFont="1" applyAlignment="1">
      <alignment vertical="center"/>
    </xf>
    <xf numFmtId="0" fontId="16" fillId="0" borderId="0" xfId="0" applyFont="1" applyAlignment="1">
      <alignment horizontal="left" vertical="center"/>
    </xf>
    <xf numFmtId="167" fontId="16" fillId="0" borderId="0" xfId="0" applyNumberFormat="1" applyFont="1" applyAlignment="1">
      <alignment horizontal="right" vertical="center"/>
    </xf>
    <xf numFmtId="0" fontId="25" fillId="4" borderId="0" xfId="0" applyFont="1" applyFill="1"/>
    <xf numFmtId="174" fontId="72" fillId="0" borderId="0" xfId="0" applyNumberFormat="1" applyFont="1" applyAlignment="1">
      <alignment horizontal="left" vertical="center"/>
    </xf>
    <xf numFmtId="0" fontId="16" fillId="0" borderId="0" xfId="0" applyFont="1" applyAlignment="1">
      <alignment horizontal="right"/>
    </xf>
    <xf numFmtId="2" fontId="16" fillId="0" borderId="0" xfId="0" applyNumberFormat="1" applyFont="1" applyAlignment="1">
      <alignment horizontal="center"/>
    </xf>
    <xf numFmtId="174" fontId="16" fillId="4" borderId="0" xfId="0" applyNumberFormat="1" applyFont="1" applyFill="1" applyAlignment="1">
      <alignment horizontal="left"/>
    </xf>
    <xf numFmtId="174" fontId="72" fillId="0" borderId="0" xfId="0" applyNumberFormat="1" applyFont="1" applyAlignment="1">
      <alignment horizontal="right" vertical="center"/>
    </xf>
    <xf numFmtId="0" fontId="26" fillId="4" borderId="0" xfId="0" applyFont="1" applyFill="1"/>
    <xf numFmtId="0" fontId="27" fillId="4" borderId="11" xfId="0" applyFont="1" applyFill="1" applyBorder="1"/>
    <xf numFmtId="0" fontId="0" fillId="4" borderId="14" xfId="0" applyFill="1" applyBorder="1"/>
    <xf numFmtId="0" fontId="0" fillId="4" borderId="8" xfId="0" applyFill="1" applyBorder="1"/>
    <xf numFmtId="0" fontId="0" fillId="6" borderId="0" xfId="0" applyFill="1"/>
    <xf numFmtId="0" fontId="62" fillId="0" borderId="0" xfId="0" applyFont="1" applyAlignment="1">
      <alignment horizontal="center"/>
    </xf>
    <xf numFmtId="0" fontId="76" fillId="0" borderId="0" xfId="0" applyFont="1" applyAlignment="1">
      <alignment horizontal="left" vertical="center"/>
    </xf>
    <xf numFmtId="0" fontId="63" fillId="21" borderId="15" xfId="0" applyFont="1" applyFill="1" applyBorder="1" applyAlignment="1">
      <alignment horizontal="center" vertical="center"/>
    </xf>
    <xf numFmtId="0" fontId="42" fillId="0" borderId="0" xfId="0" applyFont="1"/>
    <xf numFmtId="0" fontId="0" fillId="0" borderId="0" xfId="0" applyAlignment="1">
      <alignment vertical="center"/>
    </xf>
    <xf numFmtId="0" fontId="10" fillId="0" borderId="0" xfId="0" applyFont="1" applyAlignment="1">
      <alignment vertical="center"/>
    </xf>
    <xf numFmtId="0" fontId="10" fillId="0" borderId="0" xfId="0" applyFont="1"/>
    <xf numFmtId="0" fontId="65" fillId="4" borderId="9" xfId="0" applyFont="1" applyFill="1" applyBorder="1" applyAlignment="1">
      <alignment horizontal="left" vertical="center" indent="1"/>
    </xf>
    <xf numFmtId="0" fontId="64" fillId="4" borderId="4" xfId="0" applyFont="1" applyFill="1" applyBorder="1" applyAlignment="1">
      <alignment vertical="top"/>
    </xf>
    <xf numFmtId="0" fontId="66" fillId="4" borderId="10" xfId="0" applyFont="1" applyFill="1" applyBorder="1" applyAlignment="1">
      <alignment horizontal="left" vertical="top" indent="1"/>
    </xf>
    <xf numFmtId="0" fontId="0" fillId="22" borderId="39" xfId="0" applyFill="1" applyBorder="1"/>
    <xf numFmtId="171" fontId="45" fillId="12" borderId="39" xfId="0" applyNumberFormat="1" applyFont="1" applyFill="1" applyBorder="1" applyAlignment="1">
      <alignment horizontal="center" vertical="center" wrapText="1"/>
    </xf>
    <xf numFmtId="0" fontId="12" fillId="14" borderId="39" xfId="0" applyFont="1" applyFill="1" applyBorder="1" applyAlignment="1">
      <alignment horizontal="left" vertical="center" wrapText="1"/>
    </xf>
    <xf numFmtId="0" fontId="12" fillId="0" borderId="39" xfId="0" applyFont="1" applyBorder="1" applyAlignment="1">
      <alignment horizontal="center" vertical="center" wrapText="1"/>
    </xf>
    <xf numFmtId="0" fontId="12" fillId="0" borderId="6" xfId="0" applyFont="1" applyBorder="1" applyAlignment="1">
      <alignment horizontal="center" vertical="center" wrapText="1"/>
    </xf>
    <xf numFmtId="0" fontId="11" fillId="4" borderId="11" xfId="0" applyFont="1" applyFill="1" applyBorder="1" applyAlignment="1">
      <alignment horizontal="center" vertical="top"/>
    </xf>
    <xf numFmtId="0" fontId="60" fillId="4" borderId="8" xfId="0" applyFont="1" applyFill="1" applyBorder="1" applyAlignment="1">
      <alignment horizontal="right" vertical="top"/>
    </xf>
    <xf numFmtId="0" fontId="61" fillId="0" borderId="0" xfId="0" applyFont="1" applyAlignment="1">
      <alignment horizontal="left" vertical="center" indent="1"/>
    </xf>
    <xf numFmtId="0" fontId="63" fillId="21" borderId="15" xfId="0" applyFont="1" applyFill="1" applyBorder="1" applyAlignment="1">
      <alignment horizontal="left" vertical="center" indent="1"/>
    </xf>
    <xf numFmtId="0" fontId="63" fillId="21" borderId="16" xfId="0" applyFont="1" applyFill="1" applyBorder="1" applyAlignment="1">
      <alignment vertical="center"/>
    </xf>
    <xf numFmtId="0" fontId="63" fillId="21" borderId="17" xfId="0" applyFont="1" applyFill="1" applyBorder="1" applyAlignment="1">
      <alignment vertical="center"/>
    </xf>
    <xf numFmtId="0" fontId="10" fillId="0" borderId="10" xfId="0" applyFont="1" applyBorder="1"/>
    <xf numFmtId="0" fontId="10" fillId="0" borderId="6" xfId="0" applyFont="1" applyBorder="1"/>
    <xf numFmtId="0" fontId="15" fillId="0" borderId="0" xfId="0" applyFont="1"/>
    <xf numFmtId="0" fontId="28" fillId="4" borderId="10" xfId="11" applyFont="1" applyFill="1" applyBorder="1"/>
    <xf numFmtId="0" fontId="19" fillId="4" borderId="0" xfId="11" applyFont="1" applyFill="1" applyAlignment="1">
      <alignment horizontal="right"/>
    </xf>
    <xf numFmtId="0" fontId="29" fillId="4" borderId="0" xfId="11" applyFont="1" applyFill="1" applyAlignment="1">
      <alignment horizontal="right"/>
    </xf>
    <xf numFmtId="0" fontId="29" fillId="4" borderId="0" xfId="11" applyFont="1" applyFill="1" applyAlignment="1">
      <alignment vertical="center"/>
    </xf>
    <xf numFmtId="0" fontId="29" fillId="4" borderId="0" xfId="11" applyFont="1" applyFill="1"/>
    <xf numFmtId="0" fontId="29" fillId="4" borderId="0" xfId="11" applyFont="1" applyFill="1" applyAlignment="1">
      <alignment horizontal="left" vertical="center" wrapText="1"/>
    </xf>
    <xf numFmtId="0" fontId="19" fillId="4" borderId="0" xfId="11" applyFont="1" applyFill="1" applyAlignment="1">
      <alignment horizontal="right" vertical="center"/>
    </xf>
    <xf numFmtId="0" fontId="19" fillId="4" borderId="0" xfId="11" applyFont="1" applyFill="1" applyAlignment="1">
      <alignment horizontal="right" vertical="center" wrapText="1"/>
    </xf>
    <xf numFmtId="0" fontId="12" fillId="4" borderId="0" xfId="0" applyFont="1" applyFill="1"/>
    <xf numFmtId="0" fontId="10" fillId="4" borderId="6" xfId="0" applyFont="1" applyFill="1" applyBorder="1"/>
    <xf numFmtId="0" fontId="0" fillId="0" borderId="6" xfId="0" applyBorder="1"/>
    <xf numFmtId="0" fontId="52" fillId="4" borderId="0" xfId="0" applyFont="1" applyFill="1" applyAlignment="1">
      <alignment horizontal="center"/>
    </xf>
    <xf numFmtId="0" fontId="52" fillId="4" borderId="0" xfId="0" applyFont="1" applyFill="1"/>
    <xf numFmtId="0" fontId="0" fillId="4" borderId="37" xfId="0" applyFill="1" applyBorder="1"/>
    <xf numFmtId="0" fontId="42" fillId="4" borderId="23" xfId="0" applyFont="1" applyFill="1" applyBorder="1"/>
    <xf numFmtId="0" fontId="10" fillId="4" borderId="23" xfId="0" applyFont="1" applyFill="1" applyBorder="1"/>
    <xf numFmtId="0" fontId="10" fillId="4" borderId="38" xfId="0" applyFont="1" applyFill="1" applyBorder="1"/>
    <xf numFmtId="0" fontId="40" fillId="4" borderId="0" xfId="0" applyFont="1" applyFill="1"/>
    <xf numFmtId="0" fontId="0" fillId="4" borderId="11" xfId="0" applyFill="1" applyBorder="1"/>
    <xf numFmtId="0" fontId="10" fillId="4" borderId="14" xfId="0" applyFont="1" applyFill="1" applyBorder="1"/>
    <xf numFmtId="0" fontId="12" fillId="4" borderId="14" xfId="0" applyFont="1" applyFill="1" applyBorder="1"/>
    <xf numFmtId="0" fontId="10" fillId="4" borderId="8" xfId="0" applyFont="1" applyFill="1" applyBorder="1"/>
    <xf numFmtId="0" fontId="52" fillId="0" borderId="0" xfId="0" applyFont="1" applyAlignment="1">
      <alignment horizontal="left" vertical="center" indent="1"/>
    </xf>
    <xf numFmtId="0" fontId="57" fillId="21" borderId="12" xfId="0" applyFont="1" applyFill="1" applyBorder="1" applyAlignment="1">
      <alignment horizontal="left" vertical="center" indent="1"/>
    </xf>
    <xf numFmtId="0" fontId="52" fillId="0" borderId="0" xfId="38" applyFont="1" applyAlignment="1">
      <alignment horizontal="left" vertical="center"/>
    </xf>
    <xf numFmtId="0" fontId="16" fillId="0" borderId="24" xfId="0" applyFont="1" applyBorder="1"/>
    <xf numFmtId="0" fontId="16" fillId="0" borderId="24" xfId="0" applyFont="1" applyBorder="1" applyAlignment="1">
      <alignment wrapText="1"/>
    </xf>
    <xf numFmtId="0" fontId="16" fillId="0" borderId="40" xfId="0" applyFont="1" applyBorder="1"/>
    <xf numFmtId="0" fontId="10" fillId="0" borderId="24" xfId="0" applyFont="1" applyBorder="1" applyAlignment="1">
      <alignment horizontal="left" vertical="center" indent="1"/>
    </xf>
    <xf numFmtId="0" fontId="10" fillId="0" borderId="24" xfId="0" applyFont="1" applyBorder="1" applyAlignment="1">
      <alignment vertical="center" wrapText="1"/>
    </xf>
    <xf numFmtId="0" fontId="10" fillId="0" borderId="0" xfId="0" applyFont="1" applyAlignment="1">
      <alignment wrapText="1"/>
    </xf>
    <xf numFmtId="0" fontId="10" fillId="0" borderId="40" xfId="0" applyFont="1" applyBorder="1" applyAlignment="1">
      <alignment horizontal="left" vertical="center" indent="1"/>
    </xf>
    <xf numFmtId="0" fontId="10" fillId="0" borderId="40" xfId="0" applyFont="1" applyBorder="1" applyAlignment="1">
      <alignment wrapText="1"/>
    </xf>
    <xf numFmtId="0" fontId="10" fillId="0" borderId="12" xfId="0" applyFont="1" applyBorder="1" applyAlignment="1">
      <alignment horizontal="left" vertical="center" indent="1"/>
    </xf>
    <xf numFmtId="0" fontId="10" fillId="0" borderId="12" xfId="0" applyFont="1" applyBorder="1" applyAlignment="1">
      <alignment vertical="center" wrapText="1"/>
    </xf>
    <xf numFmtId="0" fontId="0" fillId="0" borderId="12" xfId="0" applyBorder="1" applyAlignment="1">
      <alignment vertical="center" wrapText="1"/>
    </xf>
    <xf numFmtId="0" fontId="10" fillId="0" borderId="12" xfId="0" applyFont="1" applyBorder="1" applyAlignment="1">
      <alignment horizontal="left" vertical="center" wrapText="1" indent="1"/>
    </xf>
    <xf numFmtId="0" fontId="10" fillId="0" borderId="41" xfId="0" applyFont="1" applyBorder="1" applyAlignment="1">
      <alignment horizontal="left" vertical="center" indent="1"/>
    </xf>
    <xf numFmtId="0" fontId="10" fillId="0" borderId="42" xfId="0" applyFont="1" applyBorder="1" applyAlignment="1">
      <alignment wrapText="1"/>
    </xf>
    <xf numFmtId="0" fontId="0" fillId="0" borderId="12" xfId="0" applyBorder="1" applyAlignment="1">
      <alignment wrapText="1"/>
    </xf>
    <xf numFmtId="0" fontId="10" fillId="0" borderId="24" xfId="0" applyFont="1" applyBorder="1" applyAlignment="1">
      <alignment horizontal="left" vertical="center" wrapText="1" indent="1"/>
    </xf>
    <xf numFmtId="0" fontId="10" fillId="0" borderId="24" xfId="0" applyFont="1" applyBorder="1" applyAlignment="1">
      <alignment wrapText="1"/>
    </xf>
    <xf numFmtId="0" fontId="0" fillId="15" borderId="12" xfId="0" applyFill="1" applyBorder="1" applyAlignment="1" applyProtection="1">
      <alignment horizontal="left" vertical="center" wrapText="1"/>
      <protection locked="0"/>
    </xf>
    <xf numFmtId="0" fontId="10" fillId="15" borderId="36" xfId="0" applyFont="1" applyFill="1" applyBorder="1" applyAlignment="1" applyProtection="1">
      <alignment horizontal="left" vertical="center" wrapText="1"/>
      <protection locked="0"/>
    </xf>
    <xf numFmtId="0" fontId="0" fillId="15" borderId="7" xfId="0" applyFill="1" applyBorder="1" applyAlignment="1" applyProtection="1">
      <alignment horizontal="left" vertical="center" wrapText="1"/>
      <protection locked="0"/>
    </xf>
    <xf numFmtId="0" fontId="10" fillId="15" borderId="24" xfId="0" applyFont="1" applyFill="1" applyBorder="1" applyAlignment="1" applyProtection="1">
      <alignment horizontal="left" vertical="center" wrapText="1"/>
      <protection locked="0"/>
    </xf>
    <xf numFmtId="0" fontId="71" fillId="0" borderId="0" xfId="0" applyFont="1" applyAlignment="1">
      <alignment horizontal="center"/>
    </xf>
    <xf numFmtId="0" fontId="52" fillId="0" borderId="0" xfId="0" applyFont="1" applyAlignment="1">
      <alignment horizontal="center" vertical="center"/>
    </xf>
    <xf numFmtId="0" fontId="67" fillId="21" borderId="15" xfId="11" applyFont="1" applyFill="1" applyBorder="1"/>
    <xf numFmtId="0" fontId="68" fillId="21" borderId="16" xfId="11" applyFont="1" applyFill="1" applyBorder="1" applyAlignment="1">
      <alignment horizontal="left" vertical="center"/>
    </xf>
    <xf numFmtId="0" fontId="67" fillId="21" borderId="16" xfId="11" applyFont="1" applyFill="1" applyBorder="1"/>
    <xf numFmtId="0" fontId="68" fillId="21" borderId="16" xfId="11" applyFont="1" applyFill="1" applyBorder="1" applyAlignment="1">
      <alignment horizontal="right" vertical="center"/>
    </xf>
    <xf numFmtId="0" fontId="53" fillId="21" borderId="17" xfId="0" applyFont="1" applyFill="1" applyBorder="1"/>
    <xf numFmtId="0" fontId="18" fillId="4" borderId="0" xfId="11" applyFont="1" applyFill="1" applyAlignment="1">
      <alignment vertical="center"/>
    </xf>
    <xf numFmtId="0" fontId="18" fillId="4" borderId="0" xfId="11" applyFont="1" applyFill="1" applyAlignment="1">
      <alignment horizontal="center" vertical="center"/>
    </xf>
    <xf numFmtId="0" fontId="27" fillId="4" borderId="6" xfId="0" applyFont="1" applyFill="1" applyBorder="1" applyAlignment="1">
      <alignment horizontal="left"/>
    </xf>
    <xf numFmtId="0" fontId="50" fillId="21" borderId="16" xfId="0" applyFont="1" applyFill="1" applyBorder="1" applyAlignment="1">
      <alignment horizontal="left" vertical="center" indent="1"/>
    </xf>
    <xf numFmtId="0" fontId="50" fillId="21" borderId="12" xfId="0" applyFont="1" applyFill="1" applyBorder="1" applyAlignment="1">
      <alignment horizontal="left" vertical="center" indent="1"/>
    </xf>
    <xf numFmtId="164" fontId="50" fillId="21" borderId="12" xfId="0" applyNumberFormat="1" applyFont="1" applyFill="1" applyBorder="1" applyAlignment="1">
      <alignment horizontal="left" vertical="center" indent="1"/>
    </xf>
    <xf numFmtId="0" fontId="17" fillId="4" borderId="15" xfId="0" applyFont="1" applyFill="1" applyBorder="1" applyAlignment="1">
      <alignment horizontal="left" vertical="center" indent="1"/>
    </xf>
    <xf numFmtId="0" fontId="17" fillId="4" borderId="16" xfId="0" applyFont="1" applyFill="1" applyBorder="1" applyAlignment="1">
      <alignment vertical="center"/>
    </xf>
    <xf numFmtId="0" fontId="17" fillId="4" borderId="17" xfId="0" applyFont="1" applyFill="1" applyBorder="1" applyAlignment="1">
      <alignment vertical="center"/>
    </xf>
    <xf numFmtId="164" fontId="17" fillId="0" borderId="12" xfId="0" applyNumberFormat="1" applyFont="1" applyBorder="1" applyAlignment="1">
      <alignment horizontal="center" vertical="center"/>
    </xf>
    <xf numFmtId="0" fontId="17" fillId="0" borderId="16" xfId="0" applyFont="1" applyBorder="1" applyAlignment="1">
      <alignment vertical="center"/>
    </xf>
    <xf numFmtId="0" fontId="17" fillId="0" borderId="17" xfId="0" applyFont="1" applyBorder="1" applyAlignment="1">
      <alignment vertical="center"/>
    </xf>
    <xf numFmtId="0" fontId="50" fillId="21" borderId="17" xfId="0" applyFont="1" applyFill="1" applyBorder="1" applyAlignment="1">
      <alignment horizontal="left" vertical="center" indent="1"/>
    </xf>
    <xf numFmtId="164" fontId="17" fillId="0" borderId="0" xfId="0" applyNumberFormat="1" applyFont="1" applyAlignment="1">
      <alignment horizontal="right"/>
    </xf>
    <xf numFmtId="9" fontId="30" fillId="4" borderId="12" xfId="0" applyNumberFormat="1" applyFont="1" applyFill="1" applyBorder="1" applyAlignment="1">
      <alignment horizontal="center" vertical="center"/>
    </xf>
    <xf numFmtId="164" fontId="17" fillId="0" borderId="12" xfId="0" applyNumberFormat="1" applyFont="1" applyBorder="1" applyAlignment="1">
      <alignment horizontal="center"/>
    </xf>
    <xf numFmtId="0" fontId="17" fillId="20" borderId="12" xfId="0" applyFont="1" applyFill="1" applyBorder="1" applyAlignment="1">
      <alignment vertical="center"/>
    </xf>
    <xf numFmtId="0" fontId="0" fillId="0" borderId="0" xfId="0" applyAlignment="1">
      <alignment horizontal="left"/>
    </xf>
    <xf numFmtId="164" fontId="17" fillId="0" borderId="0" xfId="0" applyNumberFormat="1" applyFont="1" applyAlignment="1">
      <alignment horizontal="center"/>
    </xf>
    <xf numFmtId="0" fontId="19" fillId="7" borderId="15" xfId="0" applyFont="1" applyFill="1" applyBorder="1" applyAlignment="1">
      <alignment vertical="center"/>
    </xf>
    <xf numFmtId="0" fontId="19" fillId="7" borderId="16" xfId="0" applyFont="1" applyFill="1" applyBorder="1" applyAlignment="1">
      <alignment vertical="center"/>
    </xf>
    <xf numFmtId="164" fontId="16" fillId="7" borderId="17" xfId="0" applyNumberFormat="1" applyFont="1" applyFill="1" applyBorder="1" applyAlignment="1">
      <alignment horizontal="center" vertical="center"/>
    </xf>
    <xf numFmtId="0" fontId="19" fillId="4" borderId="0" xfId="11" applyFont="1" applyFill="1" applyAlignment="1">
      <alignment horizontal="left" vertical="top" indent="1"/>
    </xf>
    <xf numFmtId="1" fontId="0" fillId="0" borderId="0" xfId="0" applyNumberFormat="1" applyAlignment="1">
      <alignment horizontal="center"/>
    </xf>
    <xf numFmtId="0" fontId="10" fillId="4" borderId="0" xfId="0" applyFont="1" applyFill="1" applyAlignment="1">
      <alignment horizontal="center"/>
    </xf>
    <xf numFmtId="0" fontId="10" fillId="4" borderId="0" xfId="0" applyFont="1" applyFill="1" applyAlignment="1">
      <alignment horizontal="right"/>
    </xf>
    <xf numFmtId="174" fontId="10" fillId="4" borderId="0" xfId="0" applyNumberFormat="1" applyFont="1" applyFill="1" applyAlignment="1">
      <alignment horizontal="left"/>
    </xf>
    <xf numFmtId="0" fontId="0" fillId="0" borderId="13" xfId="0" applyBorder="1"/>
    <xf numFmtId="0" fontId="70" fillId="21" borderId="12" xfId="0" applyFont="1" applyFill="1" applyBorder="1" applyAlignment="1">
      <alignment horizontal="left" vertical="center" indent="1"/>
    </xf>
    <xf numFmtId="0" fontId="0" fillId="21" borderId="12" xfId="0" applyFill="1" applyBorder="1"/>
    <xf numFmtId="0" fontId="0" fillId="0" borderId="0" xfId="0" applyAlignment="1">
      <alignment horizontal="center"/>
    </xf>
    <xf numFmtId="0" fontId="69" fillId="4" borderId="0" xfId="0" applyFont="1" applyFill="1" applyAlignment="1">
      <alignment horizontal="right" vertical="center"/>
    </xf>
    <xf numFmtId="0" fontId="43" fillId="0" borderId="0" xfId="0" applyFont="1"/>
    <xf numFmtId="0" fontId="0" fillId="4" borderId="0" xfId="0" applyFill="1" applyAlignment="1">
      <alignment vertical="top"/>
    </xf>
    <xf numFmtId="0" fontId="95" fillId="0" borderId="0" xfId="0" applyFont="1" applyAlignment="1">
      <alignment vertical="top"/>
    </xf>
    <xf numFmtId="0" fontId="0" fillId="4" borderId="0" xfId="0" applyFill="1" applyAlignment="1">
      <alignment vertical="top" wrapText="1"/>
    </xf>
    <xf numFmtId="0" fontId="0" fillId="4" borderId="0" xfId="0" applyFill="1" applyAlignment="1">
      <alignment horizontal="center" vertical="top" wrapText="1"/>
    </xf>
    <xf numFmtId="167" fontId="0" fillId="4" borderId="0" xfId="0" applyNumberFormat="1" applyFill="1" applyAlignment="1">
      <alignment horizontal="center" vertical="top" wrapText="1"/>
    </xf>
    <xf numFmtId="0" fontId="0" fillId="4" borderId="0" xfId="0" applyFill="1" applyAlignment="1">
      <alignment horizontal="center" vertical="center" wrapText="1"/>
    </xf>
    <xf numFmtId="167" fontId="0" fillId="4" borderId="0" xfId="0" applyNumberFormat="1" applyFill="1" applyAlignment="1">
      <alignment horizontal="center" vertical="center" wrapText="1"/>
    </xf>
    <xf numFmtId="0" fontId="43" fillId="4" borderId="0" xfId="0" applyFont="1" applyFill="1" applyAlignment="1">
      <alignment horizontal="left" vertical="top"/>
    </xf>
    <xf numFmtId="0" fontId="45" fillId="4" borderId="0" xfId="0" applyFont="1" applyFill="1" applyAlignment="1">
      <alignment vertical="top"/>
    </xf>
    <xf numFmtId="0" fontId="48" fillId="11" borderId="15" xfId="0" applyFont="1" applyFill="1" applyBorder="1" applyAlignment="1">
      <alignment horizontal="center" vertical="top" wrapText="1"/>
    </xf>
    <xf numFmtId="167" fontId="48" fillId="11" borderId="16" xfId="0" applyNumberFormat="1" applyFont="1" applyFill="1" applyBorder="1" applyAlignment="1">
      <alignment horizontal="center" vertical="top" wrapText="1"/>
    </xf>
    <xf numFmtId="0" fontId="48" fillId="11" borderId="16" xfId="0" applyFont="1" applyFill="1" applyBorder="1" applyAlignment="1">
      <alignment horizontal="center" vertical="top" wrapText="1"/>
    </xf>
    <xf numFmtId="0" fontId="48" fillId="11" borderId="17" xfId="0" applyFont="1" applyFill="1" applyBorder="1" applyAlignment="1">
      <alignment horizontal="center" vertical="top" wrapText="1"/>
    </xf>
    <xf numFmtId="0" fontId="59" fillId="0" borderId="0" xfId="0" applyFont="1" applyAlignment="1">
      <alignment horizontal="left" indent="1"/>
    </xf>
    <xf numFmtId="167" fontId="59" fillId="0" borderId="0" xfId="0" applyNumberFormat="1" applyFont="1" applyAlignment="1">
      <alignment horizontal="left" indent="1"/>
    </xf>
    <xf numFmtId="167" fontId="58" fillId="0" borderId="0" xfId="0" applyNumberFormat="1" applyFont="1" applyAlignment="1">
      <alignment wrapText="1"/>
    </xf>
    <xf numFmtId="167" fontId="50" fillId="0" borderId="0" xfId="0" applyNumberFormat="1" applyFont="1" applyAlignment="1">
      <alignment horizontal="right" wrapText="1"/>
    </xf>
    <xf numFmtId="171" fontId="58" fillId="0" borderId="0" xfId="0" applyNumberFormat="1" applyFont="1" applyAlignment="1">
      <alignment horizontal="center" wrapText="1"/>
    </xf>
    <xf numFmtId="0" fontId="13" fillId="4" borderId="0" xfId="0" applyFont="1" applyFill="1" applyAlignment="1">
      <alignment horizontal="left"/>
    </xf>
    <xf numFmtId="0" fontId="57" fillId="0" borderId="0" xfId="0" applyFont="1" applyAlignment="1">
      <alignment horizontal="center" wrapText="1"/>
    </xf>
    <xf numFmtId="167" fontId="57" fillId="0" borderId="0" xfId="0" applyNumberFormat="1" applyFont="1" applyAlignment="1">
      <alignment horizontal="center" wrapText="1"/>
    </xf>
    <xf numFmtId="0" fontId="49" fillId="4" borderId="0" xfId="0" applyFont="1" applyFill="1" applyAlignment="1">
      <alignment wrapText="1"/>
    </xf>
    <xf numFmtId="167" fontId="59" fillId="10" borderId="15" xfId="0" applyNumberFormat="1" applyFont="1" applyFill="1" applyBorder="1" applyAlignment="1">
      <alignment horizontal="left" indent="1"/>
    </xf>
    <xf numFmtId="167" fontId="59" fillId="10" borderId="16" xfId="0" applyNumberFormat="1" applyFont="1" applyFill="1" applyBorder="1" applyAlignment="1">
      <alignment horizontal="left" indent="1"/>
    </xf>
    <xf numFmtId="167" fontId="58" fillId="10" borderId="16" xfId="0" applyNumberFormat="1" applyFont="1" applyFill="1" applyBorder="1" applyAlignment="1">
      <alignment wrapText="1"/>
    </xf>
    <xf numFmtId="167" fontId="58" fillId="10" borderId="16" xfId="0" applyNumberFormat="1" applyFont="1" applyFill="1" applyBorder="1" applyAlignment="1">
      <alignment horizontal="left"/>
    </xf>
    <xf numFmtId="167" fontId="50" fillId="10" borderId="16" xfId="0" applyNumberFormat="1" applyFont="1" applyFill="1" applyBorder="1" applyAlignment="1">
      <alignment horizontal="right" wrapText="1"/>
    </xf>
    <xf numFmtId="171" fontId="58" fillId="10" borderId="16" xfId="0" applyNumberFormat="1" applyFont="1" applyFill="1" applyBorder="1" applyAlignment="1">
      <alignment horizontal="center" wrapText="1"/>
    </xf>
    <xf numFmtId="171" fontId="58" fillId="10" borderId="16" xfId="0" applyNumberFormat="1" applyFont="1" applyFill="1" applyBorder="1" applyAlignment="1">
      <alignment horizontal="left" wrapText="1"/>
    </xf>
    <xf numFmtId="0" fontId="57" fillId="10" borderId="16" xfId="0" applyFont="1" applyFill="1" applyBorder="1" applyAlignment="1">
      <alignment horizontal="left" wrapText="1"/>
    </xf>
    <xf numFmtId="167" fontId="57" fillId="10" borderId="16" xfId="0" applyNumberFormat="1" applyFont="1" applyFill="1" applyBorder="1" applyAlignment="1">
      <alignment horizontal="center" wrapText="1"/>
    </xf>
    <xf numFmtId="167" fontId="57" fillId="10" borderId="17" xfId="0" applyNumberFormat="1" applyFont="1" applyFill="1" applyBorder="1" applyAlignment="1">
      <alignment horizontal="center" wrapText="1"/>
    </xf>
    <xf numFmtId="0" fontId="12" fillId="14" borderId="0" xfId="0" applyFont="1" applyFill="1" applyAlignment="1">
      <alignment horizontal="left" vertical="center" wrapText="1"/>
    </xf>
    <xf numFmtId="2" fontId="12" fillId="0" borderId="7" xfId="0" applyNumberFormat="1" applyFont="1" applyBorder="1" applyAlignment="1">
      <alignment horizontal="left" vertical="center" wrapText="1" indent="1"/>
    </xf>
    <xf numFmtId="0" fontId="12" fillId="14" borderId="13" xfId="0" applyFont="1" applyFill="1" applyBorder="1" applyAlignment="1">
      <alignment horizontal="left" vertical="center" wrapText="1"/>
    </xf>
    <xf numFmtId="0" fontId="12" fillId="14" borderId="6" xfId="0" applyFont="1" applyFill="1" applyBorder="1" applyAlignment="1">
      <alignment horizontal="left" vertical="center" wrapText="1"/>
    </xf>
    <xf numFmtId="0" fontId="12" fillId="0" borderId="7" xfId="0" applyFont="1" applyBorder="1" applyAlignment="1">
      <alignment horizontal="left" vertical="center" wrapText="1"/>
    </xf>
    <xf numFmtId="0" fontId="12" fillId="14" borderId="3" xfId="0" applyFont="1" applyFill="1" applyBorder="1" applyAlignment="1">
      <alignment horizontal="left" vertical="center" wrapText="1"/>
    </xf>
    <xf numFmtId="164" fontId="45" fillId="0" borderId="12" xfId="1" applyFont="1" applyBorder="1" applyAlignment="1" applyProtection="1">
      <alignment horizontal="center" vertical="center" wrapText="1"/>
    </xf>
    <xf numFmtId="2" fontId="17" fillId="0" borderId="12" xfId="0" applyNumberFormat="1" applyFont="1" applyBorder="1" applyAlignment="1">
      <alignment horizontal="center" vertical="center"/>
    </xf>
    <xf numFmtId="2" fontId="12" fillId="0" borderId="12" xfId="0" applyNumberFormat="1" applyFont="1" applyBorder="1" applyAlignment="1">
      <alignment horizontal="left" vertical="center" wrapText="1" indent="1"/>
    </xf>
    <xf numFmtId="0" fontId="12" fillId="14" borderId="10" xfId="0" applyFont="1" applyFill="1" applyBorder="1" applyAlignment="1">
      <alignment horizontal="left" vertical="center" wrapText="1"/>
    </xf>
    <xf numFmtId="0" fontId="12" fillId="0" borderId="15" xfId="0" applyFont="1" applyBorder="1" applyAlignment="1">
      <alignment horizontal="left" vertical="center" wrapText="1"/>
    </xf>
    <xf numFmtId="164" fontId="45" fillId="12" borderId="12" xfId="1" applyFont="1" applyFill="1" applyBorder="1" applyAlignment="1" applyProtection="1">
      <alignment horizontal="center" vertical="center" wrapText="1"/>
    </xf>
    <xf numFmtId="0" fontId="12" fillId="0" borderId="12" xfId="0" applyFont="1" applyBorder="1" applyAlignment="1">
      <alignment horizontal="left" vertical="center" wrapText="1"/>
    </xf>
    <xf numFmtId="0" fontId="49" fillId="4" borderId="0" xfId="0" applyFont="1" applyFill="1" applyAlignment="1">
      <alignment horizontal="center" wrapText="1"/>
    </xf>
    <xf numFmtId="0" fontId="97" fillId="27" borderId="12" xfId="0" applyFont="1" applyFill="1" applyBorder="1" applyAlignment="1">
      <alignment horizontal="left" vertical="center" wrapText="1"/>
    </xf>
    <xf numFmtId="0" fontId="97" fillId="27" borderId="12" xfId="0" applyFont="1" applyFill="1" applyBorder="1" applyAlignment="1">
      <alignment horizontal="right" vertical="center" wrapText="1"/>
    </xf>
    <xf numFmtId="0" fontId="12" fillId="14" borderId="9" xfId="0" applyFont="1" applyFill="1" applyBorder="1" applyAlignment="1">
      <alignment horizontal="left" vertical="center" wrapText="1"/>
    </xf>
    <xf numFmtId="0" fontId="12" fillId="14" borderId="4" xfId="0" applyFont="1" applyFill="1" applyBorder="1" applyAlignment="1">
      <alignment horizontal="left" vertical="center" wrapText="1"/>
    </xf>
    <xf numFmtId="164" fontId="12" fillId="14" borderId="6" xfId="0" applyNumberFormat="1" applyFont="1" applyFill="1" applyBorder="1" applyAlignment="1">
      <alignment horizontal="left" vertical="center" wrapText="1"/>
    </xf>
    <xf numFmtId="0" fontId="12" fillId="14" borderId="26" xfId="0" applyFont="1" applyFill="1" applyBorder="1" applyAlignment="1">
      <alignment horizontal="left" vertical="center" wrapText="1"/>
    </xf>
    <xf numFmtId="0" fontId="45" fillId="5" borderId="15" xfId="0" applyFont="1" applyFill="1" applyBorder="1" applyAlignment="1">
      <alignment wrapText="1"/>
    </xf>
    <xf numFmtId="167" fontId="45" fillId="5" borderId="16" xfId="0" applyNumberFormat="1" applyFont="1" applyFill="1" applyBorder="1" applyAlignment="1">
      <alignment wrapText="1"/>
    </xf>
    <xf numFmtId="2" fontId="45" fillId="5" borderId="16" xfId="0" applyNumberFormat="1" applyFont="1" applyFill="1" applyBorder="1" applyAlignment="1">
      <alignment wrapText="1"/>
    </xf>
    <xf numFmtId="164" fontId="45" fillId="5" borderId="16" xfId="0" applyNumberFormat="1" applyFont="1" applyFill="1" applyBorder="1" applyAlignment="1">
      <alignment wrapText="1"/>
    </xf>
    <xf numFmtId="164" fontId="19" fillId="5" borderId="16" xfId="0" applyNumberFormat="1" applyFont="1" applyFill="1" applyBorder="1" applyAlignment="1">
      <alignment horizontal="right" wrapText="1"/>
    </xf>
    <xf numFmtId="164" fontId="45" fillId="5" borderId="16" xfId="1" applyFont="1" applyFill="1" applyBorder="1" applyAlignment="1" applyProtection="1">
      <alignment horizontal="center" wrapText="1"/>
    </xf>
    <xf numFmtId="171" fontId="45" fillId="5" borderId="14" xfId="0" applyNumberFormat="1" applyFont="1" applyFill="1" applyBorder="1" applyAlignment="1">
      <alignment horizontal="left" wrapText="1"/>
    </xf>
    <xf numFmtId="0" fontId="16" fillId="5" borderId="14" xfId="0" applyFont="1" applyFill="1" applyBorder="1" applyAlignment="1">
      <alignment horizontal="left" wrapText="1"/>
    </xf>
    <xf numFmtId="167" fontId="16" fillId="5" borderId="14" xfId="0" applyNumberFormat="1" applyFont="1" applyFill="1" applyBorder="1" applyAlignment="1">
      <alignment horizontal="center" wrapText="1"/>
    </xf>
    <xf numFmtId="167" fontId="16" fillId="5" borderId="8" xfId="0" applyNumberFormat="1" applyFont="1" applyFill="1" applyBorder="1" applyAlignment="1">
      <alignment horizontal="center" wrapText="1"/>
    </xf>
    <xf numFmtId="2" fontId="58" fillId="10" borderId="16" xfId="0" applyNumberFormat="1" applyFont="1" applyFill="1" applyBorder="1" applyAlignment="1">
      <alignment wrapText="1"/>
    </xf>
    <xf numFmtId="164" fontId="58" fillId="10" borderId="16" xfId="0" applyNumberFormat="1" applyFont="1" applyFill="1" applyBorder="1" applyAlignment="1">
      <alignment wrapText="1"/>
    </xf>
    <xf numFmtId="164" fontId="50" fillId="10" borderId="16" xfId="0" applyNumberFormat="1" applyFont="1" applyFill="1" applyBorder="1" applyAlignment="1">
      <alignment horizontal="right" wrapText="1"/>
    </xf>
    <xf numFmtId="164" fontId="58" fillId="10" borderId="16" xfId="0" applyNumberFormat="1" applyFont="1" applyFill="1" applyBorder="1" applyAlignment="1">
      <alignment horizontal="center" wrapText="1"/>
    </xf>
    <xf numFmtId="0" fontId="12" fillId="14" borderId="12" xfId="0" applyFont="1" applyFill="1" applyBorder="1" applyAlignment="1">
      <alignment horizontal="left" vertical="center" wrapText="1"/>
    </xf>
    <xf numFmtId="2" fontId="17" fillId="4" borderId="7" xfId="0" applyNumberFormat="1" applyFont="1" applyFill="1" applyBorder="1" applyAlignment="1">
      <alignment horizontal="center" vertical="center"/>
    </xf>
    <xf numFmtId="164" fontId="45" fillId="0" borderId="15" xfId="1" applyFont="1" applyBorder="1" applyAlignment="1" applyProtection="1">
      <alignment horizontal="center" vertical="center" wrapText="1"/>
    </xf>
    <xf numFmtId="0" fontId="12" fillId="0" borderId="14" xfId="0" applyFont="1" applyBorder="1" applyAlignment="1">
      <alignment horizontal="left" vertical="center" wrapText="1"/>
    </xf>
    <xf numFmtId="164" fontId="45" fillId="12" borderId="3" xfId="1" applyFont="1" applyFill="1" applyBorder="1" applyAlignment="1" applyProtection="1">
      <alignment horizontal="center" vertical="center" wrapText="1"/>
    </xf>
    <xf numFmtId="164" fontId="12" fillId="14" borderId="3" xfId="0" applyNumberFormat="1" applyFont="1" applyFill="1" applyBorder="1" applyAlignment="1">
      <alignment horizontal="left" vertical="center" wrapText="1"/>
    </xf>
    <xf numFmtId="0" fontId="12" fillId="14" borderId="5" xfId="0" applyFont="1" applyFill="1" applyBorder="1" applyAlignment="1">
      <alignment horizontal="left" vertical="center" wrapText="1"/>
    </xf>
    <xf numFmtId="164" fontId="12" fillId="14" borderId="7" xfId="0" applyNumberFormat="1" applyFont="1" applyFill="1" applyBorder="1" applyAlignment="1">
      <alignment horizontal="left" vertical="center" wrapText="1"/>
    </xf>
    <xf numFmtId="171" fontId="45" fillId="5" borderId="16" xfId="0" applyNumberFormat="1" applyFont="1" applyFill="1" applyBorder="1" applyAlignment="1">
      <alignment horizontal="left" wrapText="1"/>
    </xf>
    <xf numFmtId="0" fontId="16" fillId="5" borderId="16" xfId="0" applyFont="1" applyFill="1" applyBorder="1" applyAlignment="1">
      <alignment horizontal="left" wrapText="1"/>
    </xf>
    <xf numFmtId="167" fontId="16" fillId="5" borderId="16" xfId="0" applyNumberFormat="1" applyFont="1" applyFill="1" applyBorder="1" applyAlignment="1">
      <alignment horizontal="center" wrapText="1"/>
    </xf>
    <xf numFmtId="167" fontId="16" fillId="5" borderId="17" xfId="0" applyNumberFormat="1" applyFont="1" applyFill="1" applyBorder="1" applyAlignment="1">
      <alignment horizontal="center" wrapText="1"/>
    </xf>
    <xf numFmtId="0" fontId="13" fillId="4" borderId="12" xfId="0" applyFont="1" applyFill="1" applyBorder="1" applyAlignment="1">
      <alignment horizontal="left" vertical="center"/>
    </xf>
    <xf numFmtId="0" fontId="12" fillId="14" borderId="17" xfId="0" applyFont="1" applyFill="1" applyBorder="1" applyAlignment="1">
      <alignment horizontal="left" vertical="center" wrapText="1"/>
    </xf>
    <xf numFmtId="2" fontId="12" fillId="0" borderId="12" xfId="0" applyNumberFormat="1" applyFont="1" applyBorder="1" applyAlignment="1">
      <alignment horizontal="center" vertical="center"/>
    </xf>
    <xf numFmtId="164" fontId="45" fillId="12" borderId="17" xfId="1" applyFont="1" applyFill="1" applyBorder="1" applyAlignment="1" applyProtection="1">
      <alignment horizontal="center" vertical="center" wrapText="1"/>
    </xf>
    <xf numFmtId="164" fontId="45" fillId="12" borderId="4" xfId="1" applyFont="1" applyFill="1" applyBorder="1" applyAlignment="1" applyProtection="1">
      <alignment horizontal="center" vertical="center" wrapText="1"/>
    </xf>
    <xf numFmtId="0" fontId="12" fillId="0" borderId="5" xfId="0" applyFont="1" applyBorder="1" applyAlignment="1">
      <alignment horizontal="left" vertical="center" wrapText="1"/>
    </xf>
    <xf numFmtId="164" fontId="45" fillId="0" borderId="3" xfId="1" applyFont="1" applyBorder="1" applyAlignment="1" applyProtection="1">
      <alignment horizontal="center" vertical="center" wrapText="1"/>
    </xf>
    <xf numFmtId="164" fontId="45" fillId="12" borderId="7" xfId="1" applyFont="1" applyFill="1" applyBorder="1" applyAlignment="1" applyProtection="1">
      <alignment horizontal="center" vertical="center" wrapText="1"/>
    </xf>
    <xf numFmtId="164" fontId="45" fillId="0" borderId="7" xfId="1" applyFont="1" applyBorder="1" applyAlignment="1" applyProtection="1">
      <alignment horizontal="center" vertical="center" wrapText="1"/>
    </xf>
    <xf numFmtId="0" fontId="12" fillId="0" borderId="24" xfId="0" applyFont="1" applyBorder="1" applyAlignment="1">
      <alignment horizontal="left" vertical="center" wrapText="1"/>
    </xf>
    <xf numFmtId="164" fontId="12" fillId="14" borderId="5" xfId="0" applyNumberFormat="1" applyFont="1" applyFill="1" applyBorder="1" applyAlignment="1">
      <alignment horizontal="left" vertical="center" wrapText="1"/>
    </xf>
    <xf numFmtId="164" fontId="12" fillId="0" borderId="12" xfId="1" applyFont="1" applyFill="1" applyBorder="1" applyAlignment="1" applyProtection="1">
      <alignment horizontal="left" vertical="center" wrapText="1"/>
    </xf>
    <xf numFmtId="1" fontId="12" fillId="0" borderId="12" xfId="0" applyNumberFormat="1" applyFont="1" applyBorder="1" applyAlignment="1">
      <alignment horizontal="center" vertical="center" wrapText="1"/>
    </xf>
    <xf numFmtId="0" fontId="12" fillId="0" borderId="16" xfId="0" applyFont="1" applyBorder="1" applyAlignment="1">
      <alignment horizontal="left" vertical="center" wrapText="1"/>
    </xf>
    <xf numFmtId="0" fontId="12" fillId="14" borderId="11" xfId="0" applyFont="1" applyFill="1" applyBorder="1" applyAlignment="1">
      <alignment horizontal="left" vertical="center" wrapText="1"/>
    </xf>
    <xf numFmtId="0" fontId="12" fillId="14" borderId="14" xfId="0" applyFont="1" applyFill="1" applyBorder="1" applyAlignment="1">
      <alignment horizontal="left" vertical="center" wrapText="1"/>
    </xf>
    <xf numFmtId="0" fontId="12" fillId="14" borderId="8" xfId="0" applyFont="1" applyFill="1" applyBorder="1" applyAlignment="1">
      <alignment horizontal="left" vertical="center" wrapText="1"/>
    </xf>
    <xf numFmtId="2" fontId="12" fillId="4" borderId="12" xfId="0" applyNumberFormat="1" applyFont="1" applyFill="1" applyBorder="1" applyAlignment="1">
      <alignment horizontal="center" vertical="center"/>
    </xf>
    <xf numFmtId="0" fontId="12" fillId="14" borderId="7" xfId="0" applyFont="1" applyFill="1" applyBorder="1" applyAlignment="1">
      <alignment horizontal="left" vertical="center" wrapText="1"/>
    </xf>
    <xf numFmtId="164" fontId="45" fillId="0" borderId="12" xfId="1" applyFont="1" applyFill="1" applyBorder="1" applyAlignment="1" applyProtection="1">
      <alignment horizontal="center" vertical="center" wrapText="1"/>
    </xf>
    <xf numFmtId="0" fontId="12" fillId="14" borderId="15" xfId="0" applyFont="1" applyFill="1" applyBorder="1" applyAlignment="1">
      <alignment horizontal="left" vertical="center" wrapText="1"/>
    </xf>
    <xf numFmtId="164" fontId="12" fillId="0" borderId="12" xfId="1" applyFont="1" applyFill="1" applyBorder="1" applyAlignment="1" applyProtection="1">
      <alignment horizontal="center" vertical="center" wrapText="1"/>
    </xf>
    <xf numFmtId="170" fontId="12" fillId="0" borderId="12" xfId="0" applyNumberFormat="1" applyFont="1" applyBorder="1" applyAlignment="1">
      <alignment horizontal="center" vertical="center" wrapText="1"/>
    </xf>
    <xf numFmtId="164" fontId="12" fillId="14" borderId="0" xfId="0" applyNumberFormat="1" applyFont="1" applyFill="1" applyAlignment="1">
      <alignment horizontal="left" vertical="center" wrapText="1"/>
    </xf>
    <xf numFmtId="164" fontId="12" fillId="12" borderId="12" xfId="1" applyFont="1" applyFill="1" applyBorder="1" applyAlignment="1" applyProtection="1">
      <alignment horizontal="center" vertical="center" wrapText="1"/>
    </xf>
    <xf numFmtId="2" fontId="12" fillId="0" borderId="11" xfId="0" applyNumberFormat="1" applyFont="1" applyBorder="1" applyAlignment="1">
      <alignment horizontal="center" vertical="center"/>
    </xf>
    <xf numFmtId="2" fontId="12" fillId="0" borderId="12" xfId="0" applyNumberFormat="1" applyFont="1" applyBorder="1" applyAlignment="1">
      <alignment horizontal="center" vertical="center" wrapText="1"/>
    </xf>
    <xf numFmtId="167" fontId="59" fillId="10" borderId="16" xfId="0" applyNumberFormat="1" applyFont="1" applyFill="1" applyBorder="1"/>
    <xf numFmtId="2" fontId="12" fillId="0" borderId="7" xfId="0" applyNumberFormat="1" applyFont="1" applyBorder="1" applyAlignment="1">
      <alignment horizontal="center" vertical="center"/>
    </xf>
    <xf numFmtId="172" fontId="12" fillId="0" borderId="12" xfId="0" applyNumberFormat="1" applyFont="1" applyBorder="1" applyAlignment="1">
      <alignment horizontal="center" vertical="center" wrapText="1"/>
    </xf>
    <xf numFmtId="0" fontId="12" fillId="0" borderId="12" xfId="0" applyFont="1" applyBorder="1" applyAlignment="1">
      <alignment horizontal="center" vertical="center" wrapText="1"/>
    </xf>
    <xf numFmtId="2" fontId="12" fillId="14" borderId="3" xfId="0" applyNumberFormat="1" applyFont="1" applyFill="1" applyBorder="1" applyAlignment="1">
      <alignment horizontal="center" vertical="center" wrapText="1"/>
    </xf>
    <xf numFmtId="164" fontId="12" fillId="12" borderId="3" xfId="1" applyFont="1" applyFill="1" applyBorder="1" applyAlignment="1" applyProtection="1">
      <alignment horizontal="center" vertical="center" wrapText="1"/>
    </xf>
    <xf numFmtId="2" fontId="12" fillId="14" borderId="7" xfId="0" applyNumberFormat="1" applyFont="1" applyFill="1" applyBorder="1" applyAlignment="1">
      <alignment horizontal="center" vertical="center" wrapText="1"/>
    </xf>
    <xf numFmtId="2" fontId="12" fillId="0" borderId="7" xfId="0" applyNumberFormat="1" applyFont="1" applyBorder="1" applyAlignment="1">
      <alignment horizontal="center" vertical="center" wrapText="1"/>
    </xf>
    <xf numFmtId="164" fontId="12" fillId="12" borderId="15" xfId="1" applyFont="1" applyFill="1" applyBorder="1" applyAlignment="1" applyProtection="1">
      <alignment horizontal="center" vertical="center" wrapText="1"/>
    </xf>
    <xf numFmtId="164" fontId="45" fillId="0" borderId="4" xfId="1" applyFont="1" applyBorder="1" applyAlignment="1" applyProtection="1">
      <alignment horizontal="center" vertical="center" wrapText="1"/>
    </xf>
    <xf numFmtId="164" fontId="12" fillId="14" borderId="9" xfId="0" applyNumberFormat="1" applyFont="1" applyFill="1" applyBorder="1" applyAlignment="1">
      <alignment horizontal="left" vertical="center" wrapText="1"/>
    </xf>
    <xf numFmtId="164" fontId="12" fillId="14" borderId="10" xfId="0" applyNumberFormat="1" applyFont="1" applyFill="1" applyBorder="1" applyAlignment="1">
      <alignment horizontal="left" vertical="center" wrapText="1"/>
    </xf>
    <xf numFmtId="0" fontId="91" fillId="0" borderId="12" xfId="0" applyFont="1" applyBorder="1" applyAlignment="1">
      <alignment horizontal="left" vertical="center" wrapText="1"/>
    </xf>
    <xf numFmtId="0" fontId="12" fillId="0" borderId="12" xfId="0" applyFont="1" applyBorder="1" applyAlignment="1">
      <alignment horizontal="right" vertical="center" wrapText="1"/>
    </xf>
    <xf numFmtId="164" fontId="12" fillId="14" borderId="11" xfId="0" applyNumberFormat="1" applyFont="1" applyFill="1" applyBorder="1" applyAlignment="1">
      <alignment horizontal="left" vertical="center" wrapText="1"/>
    </xf>
    <xf numFmtId="164" fontId="45" fillId="0" borderId="17" xfId="1" applyFont="1" applyBorder="1" applyAlignment="1" applyProtection="1">
      <alignment horizontal="center" vertical="center" wrapText="1"/>
    </xf>
    <xf numFmtId="0" fontId="12" fillId="0" borderId="15" xfId="0" applyFont="1" applyBorder="1" applyAlignment="1">
      <alignment horizontal="left" vertical="center"/>
    </xf>
    <xf numFmtId="2" fontId="12" fillId="0" borderId="17" xfId="0" applyNumberFormat="1" applyFont="1" applyBorder="1" applyAlignment="1">
      <alignment horizontal="center" vertical="center"/>
    </xf>
    <xf numFmtId="169" fontId="12" fillId="0" borderId="10" xfId="0" applyNumberFormat="1" applyFont="1" applyBorder="1" applyAlignment="1">
      <alignment horizontal="left" vertical="center" wrapText="1"/>
    </xf>
    <xf numFmtId="164" fontId="12" fillId="14" borderId="14" xfId="0" applyNumberFormat="1" applyFont="1" applyFill="1" applyBorder="1" applyAlignment="1">
      <alignment horizontal="left" vertical="center" wrapText="1"/>
    </xf>
    <xf numFmtId="164" fontId="12" fillId="14" borderId="12" xfId="0" applyNumberFormat="1" applyFont="1" applyFill="1" applyBorder="1" applyAlignment="1">
      <alignment horizontal="left" vertical="center" wrapText="1"/>
    </xf>
    <xf numFmtId="167" fontId="19" fillId="5" borderId="16" xfId="0" applyNumberFormat="1" applyFont="1" applyFill="1" applyBorder="1" applyAlignment="1">
      <alignment horizontal="right" wrapText="1"/>
    </xf>
    <xf numFmtId="169" fontId="45" fillId="5" borderId="16" xfId="1" applyNumberFormat="1" applyFont="1" applyFill="1" applyBorder="1" applyAlignment="1" applyProtection="1">
      <alignment horizontal="center" wrapText="1"/>
    </xf>
    <xf numFmtId="0" fontId="13" fillId="4" borderId="0" xfId="0" applyFont="1" applyFill="1"/>
    <xf numFmtId="0" fontId="13" fillId="4" borderId="0" xfId="0" applyFont="1" applyFill="1" applyAlignment="1">
      <alignment horizontal="center"/>
    </xf>
    <xf numFmtId="0" fontId="12" fillId="0" borderId="0" xfId="0" applyFont="1"/>
    <xf numFmtId="0" fontId="92" fillId="0" borderId="24" xfId="0" applyFont="1" applyBorder="1" applyAlignment="1">
      <alignment horizontal="center"/>
    </xf>
    <xf numFmtId="0" fontId="92" fillId="4" borderId="24" xfId="0" applyFont="1" applyFill="1" applyBorder="1" applyAlignment="1">
      <alignment horizontal="center"/>
    </xf>
    <xf numFmtId="2" fontId="12" fillId="15" borderId="12" xfId="0" applyNumberFormat="1" applyFont="1" applyFill="1" applyBorder="1" applyAlignment="1" applyProtection="1">
      <alignment horizontal="left" vertical="center" wrapText="1" indent="1"/>
      <protection locked="0"/>
    </xf>
    <xf numFmtId="171" fontId="45" fillId="15" borderId="7" xfId="0" applyNumberFormat="1" applyFont="1" applyFill="1" applyBorder="1" applyAlignment="1" applyProtection="1">
      <alignment horizontal="left" vertical="center" wrapText="1"/>
      <protection locked="0"/>
    </xf>
    <xf numFmtId="171" fontId="45" fillId="15" borderId="12" xfId="0" applyNumberFormat="1" applyFont="1" applyFill="1" applyBorder="1" applyAlignment="1" applyProtection="1">
      <alignment horizontal="left" vertical="center" wrapText="1"/>
      <protection locked="0"/>
    </xf>
    <xf numFmtId="171" fontId="45" fillId="15" borderId="16" xfId="0" applyNumberFormat="1" applyFont="1" applyFill="1" applyBorder="1" applyAlignment="1" applyProtection="1">
      <alignment horizontal="left" vertical="center" wrapText="1"/>
      <protection locked="0"/>
    </xf>
    <xf numFmtId="171" fontId="45" fillId="15" borderId="13" xfId="0" applyNumberFormat="1" applyFont="1" applyFill="1" applyBorder="1" applyAlignment="1" applyProtection="1">
      <alignment horizontal="left" vertical="center" wrapText="1"/>
      <protection locked="0"/>
    </xf>
    <xf numFmtId="0" fontId="12" fillId="15" borderId="7" xfId="0" applyFont="1" applyFill="1" applyBorder="1" applyAlignment="1" applyProtection="1">
      <alignment horizontal="left" vertical="center" wrapText="1"/>
      <protection locked="0"/>
    </xf>
    <xf numFmtId="171" fontId="45" fillId="15" borderId="14" xfId="0" applyNumberFormat="1" applyFont="1" applyFill="1" applyBorder="1" applyAlignment="1" applyProtection="1">
      <alignment horizontal="left" vertical="center" wrapText="1"/>
      <protection locked="0"/>
    </xf>
    <xf numFmtId="0" fontId="86" fillId="15" borderId="12" xfId="0" applyFont="1" applyFill="1" applyBorder="1" applyAlignment="1" applyProtection="1">
      <alignment horizontal="left" vertical="center"/>
      <protection locked="0"/>
    </xf>
    <xf numFmtId="0" fontId="57" fillId="21" borderId="12" xfId="38" applyFont="1" applyFill="1" applyBorder="1" applyAlignment="1">
      <alignment horizontal="left" vertical="center" indent="1"/>
    </xf>
    <xf numFmtId="0" fontId="57" fillId="21" borderId="17" xfId="38" applyFont="1" applyFill="1" applyBorder="1" applyAlignment="1">
      <alignment vertical="center"/>
    </xf>
    <xf numFmtId="0" fontId="74" fillId="0" borderId="0" xfId="0" applyFont="1"/>
    <xf numFmtId="0" fontId="74" fillId="0" borderId="0" xfId="0" applyFont="1" applyAlignment="1">
      <alignment horizontal="right"/>
    </xf>
    <xf numFmtId="0" fontId="16" fillId="9" borderId="12" xfId="0" applyFont="1" applyFill="1" applyBorder="1" applyAlignment="1">
      <alignment horizontal="center"/>
    </xf>
    <xf numFmtId="0" fontId="16" fillId="0" borderId="12" xfId="0" applyFont="1" applyBorder="1" applyAlignment="1">
      <alignment horizontal="center"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2" fontId="0" fillId="0" borderId="15" xfId="0" applyNumberFormat="1" applyBorder="1" applyAlignment="1">
      <alignment horizontal="center"/>
    </xf>
    <xf numFmtId="0" fontId="0" fillId="0" borderId="15" xfId="0" applyBorder="1"/>
    <xf numFmtId="0" fontId="0" fillId="0" borderId="16" xfId="0" applyBorder="1"/>
    <xf numFmtId="0" fontId="0" fillId="0" borderId="17" xfId="0" applyBorder="1"/>
    <xf numFmtId="172" fontId="0" fillId="0" borderId="12" xfId="0" applyNumberFormat="1" applyBorder="1" applyAlignment="1">
      <alignment horizontal="center"/>
    </xf>
    <xf numFmtId="0" fontId="0" fillId="0" borderId="12" xfId="0" applyBorder="1" applyAlignment="1">
      <alignment horizontal="left"/>
    </xf>
    <xf numFmtId="1" fontId="0" fillId="0" borderId="12" xfId="0" applyNumberFormat="1" applyBorder="1" applyAlignment="1">
      <alignment horizontal="center"/>
    </xf>
    <xf numFmtId="0" fontId="10" fillId="0" borderId="12" xfId="0" applyFont="1" applyBorder="1"/>
    <xf numFmtId="2" fontId="0" fillId="0" borderId="12" xfId="1" applyNumberFormat="1" applyFont="1" applyBorder="1" applyAlignment="1" applyProtection="1">
      <alignment horizontal="center"/>
    </xf>
    <xf numFmtId="0" fontId="0" fillId="0" borderId="12" xfId="0" applyBorder="1"/>
    <xf numFmtId="170" fontId="0" fillId="0" borderId="12" xfId="0" applyNumberFormat="1" applyBorder="1" applyAlignment="1">
      <alignment horizontal="center"/>
    </xf>
    <xf numFmtId="0" fontId="10" fillId="0" borderId="12" xfId="0" applyFont="1" applyBorder="1" applyAlignment="1">
      <alignment horizontal="center"/>
    </xf>
    <xf numFmtId="0" fontId="10" fillId="0" borderId="12" xfId="0" applyFont="1" applyBorder="1" applyAlignment="1">
      <alignment horizontal="left"/>
    </xf>
    <xf numFmtId="2" fontId="0" fillId="0" borderId="12" xfId="0" applyNumberFormat="1" applyBorder="1" applyAlignment="1">
      <alignment horizontal="center"/>
    </xf>
    <xf numFmtId="0" fontId="0" fillId="0" borderId="12" xfId="0" applyBorder="1" applyAlignment="1">
      <alignment horizontal="center"/>
    </xf>
    <xf numFmtId="0" fontId="42" fillId="0" borderId="0" xfId="0" applyFont="1" applyAlignment="1">
      <alignment horizontal="center"/>
    </xf>
    <xf numFmtId="0" fontId="16" fillId="0" borderId="0" xfId="0" applyFont="1" applyAlignment="1">
      <alignment horizontal="left"/>
    </xf>
    <xf numFmtId="2" fontId="73" fillId="2" borderId="27" xfId="53" applyNumberFormat="1" applyAlignment="1" applyProtection="1">
      <alignment horizontal="center"/>
    </xf>
    <xf numFmtId="0" fontId="16" fillId="0" borderId="0" xfId="0" applyFont="1" applyAlignment="1">
      <alignment horizontal="center"/>
    </xf>
    <xf numFmtId="2" fontId="0" fillId="0" borderId="12" xfId="0" applyNumberFormat="1" applyBorder="1" applyAlignment="1">
      <alignment horizontal="center"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10" fillId="0" borderId="12" xfId="0" applyFont="1" applyBorder="1" applyAlignment="1">
      <alignment vertical="center"/>
    </xf>
    <xf numFmtId="0" fontId="0" fillId="0" borderId="12" xfId="0" applyBorder="1" applyAlignment="1">
      <alignment horizontal="center" vertical="center"/>
    </xf>
    <xf numFmtId="170" fontId="73" fillId="2" borderId="27" xfId="53" applyNumberFormat="1" applyAlignment="1" applyProtection="1">
      <alignment horizontal="center" vertical="center"/>
    </xf>
    <xf numFmtId="0" fontId="17" fillId="0" borderId="0" xfId="38" applyFont="1"/>
    <xf numFmtId="0" fontId="38" fillId="0" borderId="0" xfId="38" applyFont="1" applyAlignment="1">
      <alignment horizontal="left" vertical="center"/>
    </xf>
    <xf numFmtId="0" fontId="17" fillId="0" borderId="0" xfId="38" applyFont="1" applyAlignment="1">
      <alignment vertical="center"/>
    </xf>
    <xf numFmtId="0" fontId="17" fillId="0" borderId="0" xfId="38" applyFont="1" applyAlignment="1">
      <alignment horizontal="center"/>
    </xf>
    <xf numFmtId="0" fontId="63" fillId="21" borderId="12" xfId="38" applyFont="1" applyFill="1" applyBorder="1" applyAlignment="1">
      <alignment horizontal="left" vertical="center" indent="1"/>
    </xf>
    <xf numFmtId="0" fontId="63" fillId="21" borderId="12" xfId="38" applyFont="1" applyFill="1" applyBorder="1" applyAlignment="1">
      <alignment horizontal="left" vertical="center"/>
    </xf>
    <xf numFmtId="0" fontId="10" fillId="4" borderId="0" xfId="38" applyFill="1" applyAlignment="1">
      <alignment vertical="top"/>
    </xf>
    <xf numFmtId="0" fontId="19" fillId="0" borderId="0" xfId="38" applyFont="1" applyAlignment="1">
      <alignment horizontal="right" vertical="center"/>
    </xf>
    <xf numFmtId="164" fontId="83" fillId="16" borderId="12" xfId="0" applyNumberFormat="1" applyFont="1" applyFill="1" applyBorder="1" applyAlignment="1">
      <alignment horizontal="center" vertical="center"/>
    </xf>
    <xf numFmtId="0" fontId="20" fillId="0" borderId="0" xfId="10" applyFill="1" applyBorder="1" applyAlignment="1" applyProtection="1">
      <alignment horizontal="center" vertical="center"/>
    </xf>
    <xf numFmtId="0" fontId="19" fillId="0" borderId="0" xfId="38" applyFont="1" applyAlignment="1">
      <alignment horizontal="center"/>
    </xf>
    <xf numFmtId="0" fontId="17" fillId="0" borderId="0" xfId="38" applyFont="1" applyAlignment="1">
      <alignment horizontal="right" vertical="center" indent="1"/>
    </xf>
    <xf numFmtId="0" fontId="85" fillId="0" borderId="0" xfId="38" applyFont="1" applyAlignment="1">
      <alignment horizontal="left" vertical="center" indent="1"/>
    </xf>
    <xf numFmtId="0" fontId="50" fillId="21" borderId="0" xfId="38" applyFont="1" applyFill="1" applyAlignment="1">
      <alignment horizontal="left" vertical="center" indent="1"/>
    </xf>
    <xf numFmtId="0" fontId="19" fillId="21" borderId="0" xfId="38" applyFont="1" applyFill="1" applyAlignment="1">
      <alignment horizontal="left" vertical="center" indent="1"/>
    </xf>
    <xf numFmtId="0" fontId="19" fillId="0" borderId="12" xfId="38" applyFont="1" applyBorder="1" applyAlignment="1">
      <alignment horizontal="center" vertical="center" wrapText="1"/>
    </xf>
    <xf numFmtId="0" fontId="90" fillId="0" borderId="24" xfId="38" applyFont="1" applyBorder="1" applyAlignment="1">
      <alignment horizontal="center" vertical="center"/>
    </xf>
    <xf numFmtId="0" fontId="17" fillId="0" borderId="0" xfId="38" applyFont="1" applyAlignment="1">
      <alignment horizontal="right"/>
    </xf>
    <xf numFmtId="2" fontId="17" fillId="0" borderId="0" xfId="38" applyNumberFormat="1" applyFont="1"/>
    <xf numFmtId="0" fontId="17" fillId="0" borderId="0" xfId="38" applyFont="1" applyAlignment="1">
      <alignment horizontal="right" indent="1"/>
    </xf>
    <xf numFmtId="2" fontId="73" fillId="2" borderId="27" xfId="53" applyNumberFormat="1" applyAlignment="1" applyProtection="1">
      <alignment horizontal="center" vertical="center"/>
    </xf>
    <xf numFmtId="0" fontId="10" fillId="0" borderId="0" xfId="38"/>
    <xf numFmtId="2" fontId="52" fillId="0" borderId="0" xfId="38" applyNumberFormat="1" applyFont="1" applyAlignment="1">
      <alignment horizontal="left" vertical="center"/>
    </xf>
    <xf numFmtId="2" fontId="17" fillId="0" borderId="0" xfId="38" applyNumberFormat="1" applyFont="1" applyAlignment="1">
      <alignment vertical="center"/>
    </xf>
    <xf numFmtId="164" fontId="0" fillId="0" borderId="0" xfId="1" applyFont="1" applyAlignment="1" applyProtection="1">
      <alignment vertical="center"/>
    </xf>
    <xf numFmtId="0" fontId="19" fillId="21" borderId="0" xfId="38" applyFont="1" applyFill="1" applyAlignment="1">
      <alignment horizontal="left"/>
    </xf>
    <xf numFmtId="0" fontId="17" fillId="0" borderId="0" xfId="38" applyFont="1" applyAlignment="1">
      <alignment horizontal="left" vertical="center" wrapText="1"/>
    </xf>
    <xf numFmtId="0" fontId="90" fillId="0" borderId="24" xfId="38" applyFont="1" applyBorder="1" applyAlignment="1">
      <alignment horizontal="left" vertical="center" wrapText="1"/>
    </xf>
    <xf numFmtId="0" fontId="52" fillId="0" borderId="0" xfId="38" applyFont="1" applyAlignment="1">
      <alignment horizontal="left" vertical="center" wrapText="1"/>
    </xf>
    <xf numFmtId="0" fontId="10" fillId="0" borderId="0" xfId="38" applyAlignment="1">
      <alignment horizontal="left" vertical="center" wrapText="1"/>
    </xf>
    <xf numFmtId="1" fontId="73" fillId="2" borderId="27" xfId="53" applyNumberFormat="1" applyAlignment="1" applyProtection="1">
      <alignment horizontal="center" vertical="center"/>
    </xf>
    <xf numFmtId="0" fontId="19" fillId="0" borderId="0" xfId="38" applyFont="1" applyAlignment="1">
      <alignment horizontal="center" vertical="center"/>
    </xf>
    <xf numFmtId="0" fontId="17" fillId="0" borderId="0" xfId="38" applyFont="1" applyAlignment="1">
      <alignment horizontal="right" vertical="center"/>
    </xf>
    <xf numFmtId="164" fontId="17" fillId="12" borderId="12" xfId="1" applyFont="1" applyFill="1" applyBorder="1" applyAlignment="1" applyProtection="1">
      <alignment horizontal="center" vertical="center" wrapText="1"/>
    </xf>
    <xf numFmtId="2" fontId="73" fillId="2" borderId="27" xfId="53" applyNumberFormat="1" applyAlignment="1" applyProtection="1">
      <alignment horizontal="center" vertical="center" wrapText="1"/>
    </xf>
    <xf numFmtId="0" fontId="30" fillId="0" borderId="0" xfId="38" applyFont="1" applyAlignment="1">
      <alignment horizontal="center" vertical="center"/>
    </xf>
    <xf numFmtId="0" fontId="17" fillId="0" borderId="0" xfId="38" applyFont="1" applyAlignment="1">
      <alignment horizontal="center" vertical="center"/>
    </xf>
    <xf numFmtId="164" fontId="51" fillId="16" borderId="12" xfId="0" applyNumberFormat="1" applyFont="1" applyFill="1" applyBorder="1" applyAlignment="1">
      <alignment horizontal="center" vertical="center"/>
    </xf>
    <xf numFmtId="0" fontId="19" fillId="0" borderId="0" xfId="38" applyFont="1" applyAlignment="1">
      <alignment horizontal="center" wrapText="1"/>
    </xf>
    <xf numFmtId="0" fontId="19" fillId="0" borderId="0" xfId="38" applyFont="1" applyAlignment="1">
      <alignment horizontal="center" vertical="center" wrapText="1"/>
    </xf>
    <xf numFmtId="0" fontId="12" fillId="0" borderId="28" xfId="38" applyFont="1" applyBorder="1" applyAlignment="1">
      <alignment horizontal="center" vertical="center" wrapText="1"/>
    </xf>
    <xf numFmtId="0" fontId="97" fillId="0" borderId="0" xfId="38" applyFont="1" applyAlignment="1">
      <alignment horizontal="center" vertical="center" wrapText="1"/>
    </xf>
    <xf numFmtId="2" fontId="17" fillId="0" borderId="0" xfId="38" applyNumberFormat="1" applyFont="1" applyAlignment="1">
      <alignment horizontal="center" vertical="center"/>
    </xf>
    <xf numFmtId="0" fontId="17" fillId="0" borderId="28" xfId="38" applyFont="1" applyBorder="1" applyAlignment="1">
      <alignment horizontal="center" vertical="center"/>
    </xf>
    <xf numFmtId="0" fontId="85" fillId="0" borderId="0" xfId="38" applyFont="1" applyAlignment="1">
      <alignment horizontal="left"/>
    </xf>
    <xf numFmtId="0" fontId="85" fillId="0" borderId="0" xfId="38" applyFont="1" applyAlignment="1">
      <alignment horizontal="left" vertical="center"/>
    </xf>
    <xf numFmtId="2" fontId="85" fillId="0" borderId="0" xfId="38" applyNumberFormat="1" applyFont="1" applyAlignment="1">
      <alignment horizontal="left" vertical="center"/>
    </xf>
    <xf numFmtId="0" fontId="50" fillId="21" borderId="25" xfId="38" applyFont="1" applyFill="1" applyBorder="1" applyAlignment="1">
      <alignment horizontal="left" vertical="center"/>
    </xf>
    <xf numFmtId="9" fontId="17" fillId="0" borderId="12" xfId="38" applyNumberFormat="1" applyFont="1" applyBorder="1" applyAlignment="1">
      <alignment horizontal="center" vertical="center"/>
    </xf>
    <xf numFmtId="0" fontId="19" fillId="0" borderId="12" xfId="38" applyFont="1" applyBorder="1" applyAlignment="1">
      <alignment horizontal="center" wrapText="1"/>
    </xf>
    <xf numFmtId="0" fontId="87" fillId="0" borderId="0" xfId="38" applyFont="1" applyAlignment="1">
      <alignment horizontal="center" vertical="center" wrapText="1"/>
    </xf>
    <xf numFmtId="2" fontId="17" fillId="0" borderId="12" xfId="38" applyNumberFormat="1" applyFont="1" applyBorder="1" applyAlignment="1">
      <alignment horizontal="center" vertical="center"/>
    </xf>
    <xf numFmtId="2" fontId="17" fillId="0" borderId="0" xfId="38" applyNumberFormat="1" applyFont="1" applyAlignment="1">
      <alignment horizontal="center"/>
    </xf>
    <xf numFmtId="2" fontId="73" fillId="2" borderId="12" xfId="53" applyNumberFormat="1" applyBorder="1" applyAlignment="1" applyProtection="1">
      <alignment horizontal="center" vertical="center"/>
    </xf>
    <xf numFmtId="2" fontId="98" fillId="0" borderId="7" xfId="53" applyNumberFormat="1" applyFont="1" applyFill="1" applyBorder="1" applyAlignment="1" applyProtection="1">
      <alignment horizontal="center" vertical="center"/>
    </xf>
    <xf numFmtId="2" fontId="98" fillId="0" borderId="12" xfId="53" applyNumberFormat="1" applyFont="1" applyFill="1" applyBorder="1" applyAlignment="1" applyProtection="1">
      <alignment horizontal="center" vertical="center"/>
    </xf>
    <xf numFmtId="164" fontId="58" fillId="16" borderId="7" xfId="1" applyFont="1" applyFill="1" applyBorder="1" applyAlignment="1" applyProtection="1">
      <alignment horizontal="center" vertical="center" wrapText="1"/>
    </xf>
    <xf numFmtId="0" fontId="52" fillId="0" borderId="0" xfId="38" applyFont="1" applyAlignment="1">
      <alignment vertical="center"/>
    </xf>
    <xf numFmtId="0" fontId="87" fillId="0" borderId="0" xfId="38" applyFont="1" applyAlignment="1">
      <alignment horizontal="center" vertical="center"/>
    </xf>
    <xf numFmtId="2" fontId="98" fillId="0" borderId="27" xfId="53" applyNumberFormat="1" applyFont="1" applyFill="1" applyAlignment="1" applyProtection="1">
      <alignment horizontal="center" vertical="center"/>
    </xf>
    <xf numFmtId="164" fontId="58" fillId="16" borderId="12" xfId="1" applyFont="1" applyFill="1" applyBorder="1" applyAlignment="1" applyProtection="1">
      <alignment horizontal="center" vertical="center" wrapText="1"/>
    </xf>
    <xf numFmtId="0" fontId="19" fillId="0" borderId="16" xfId="38" applyFont="1" applyBorder="1" applyAlignment="1">
      <alignment horizontal="center" vertical="center" wrapText="1"/>
    </xf>
    <xf numFmtId="0" fontId="19" fillId="0" borderId="15" xfId="38" applyFont="1" applyBorder="1" applyAlignment="1">
      <alignment horizontal="center" vertical="center" wrapText="1"/>
    </xf>
    <xf numFmtId="0" fontId="17" fillId="0" borderId="16" xfId="38" applyFont="1" applyBorder="1" applyAlignment="1">
      <alignment horizontal="center"/>
    </xf>
    <xf numFmtId="0" fontId="17" fillId="0" borderId="17" xfId="38" applyFont="1" applyBorder="1" applyAlignment="1">
      <alignment horizontal="center"/>
    </xf>
    <xf numFmtId="0" fontId="17" fillId="0" borderId="0" xfId="38" applyFont="1" applyAlignment="1">
      <alignment horizontal="center" wrapText="1"/>
    </xf>
    <xf numFmtId="0" fontId="17" fillId="0" borderId="12" xfId="38" applyFont="1" applyBorder="1" applyAlignment="1">
      <alignment horizontal="center" wrapText="1"/>
    </xf>
    <xf numFmtId="0" fontId="17" fillId="0" borderId="12" xfId="38" applyFont="1" applyBorder="1" applyAlignment="1">
      <alignment horizontal="center"/>
    </xf>
    <xf numFmtId="0" fontId="17" fillId="0" borderId="12" xfId="38" applyFont="1" applyBorder="1" applyAlignment="1">
      <alignment horizontal="center" vertical="center"/>
    </xf>
    <xf numFmtId="1" fontId="85" fillId="0" borderId="0" xfId="38" applyNumberFormat="1" applyFont="1" applyAlignment="1">
      <alignment horizontal="left" vertical="center"/>
    </xf>
    <xf numFmtId="1" fontId="73" fillId="2" borderId="12" xfId="53" applyNumberFormat="1" applyBorder="1" applyAlignment="1" applyProtection="1">
      <alignment horizontal="center" vertical="center"/>
    </xf>
    <xf numFmtId="2" fontId="73" fillId="2" borderId="46" xfId="53" applyNumberFormat="1" applyBorder="1" applyAlignment="1" applyProtection="1">
      <alignment horizontal="center" vertical="center"/>
    </xf>
    <xf numFmtId="164" fontId="51" fillId="16" borderId="12" xfId="38" applyNumberFormat="1" applyFont="1" applyFill="1" applyBorder="1" applyAlignment="1">
      <alignment horizontal="center" vertical="center"/>
    </xf>
    <xf numFmtId="0" fontId="17" fillId="15" borderId="16" xfId="38" applyFont="1" applyFill="1" applyBorder="1" applyAlignment="1" applyProtection="1">
      <alignment horizontal="center"/>
      <protection locked="0"/>
    </xf>
    <xf numFmtId="0" fontId="17" fillId="15" borderId="17" xfId="38" applyFont="1" applyFill="1" applyBorder="1" applyAlignment="1" applyProtection="1">
      <alignment horizontal="center"/>
      <protection locked="0"/>
    </xf>
    <xf numFmtId="2" fontId="73" fillId="2" borderId="34" xfId="53" applyNumberFormat="1" applyBorder="1" applyAlignment="1" applyProtection="1">
      <alignment horizontal="center" vertical="center"/>
    </xf>
    <xf numFmtId="164" fontId="51" fillId="16" borderId="0" xfId="38" applyNumberFormat="1" applyFont="1" applyFill="1" applyAlignment="1">
      <alignment horizontal="center" vertical="center"/>
    </xf>
    <xf numFmtId="0" fontId="63" fillId="21" borderId="12" xfId="38" applyFont="1" applyFill="1" applyBorder="1" applyAlignment="1">
      <alignment horizontal="left" vertical="center" indent="2"/>
    </xf>
    <xf numFmtId="164" fontId="83" fillId="16" borderId="12" xfId="0" applyNumberFormat="1" applyFont="1" applyFill="1" applyBorder="1" applyAlignment="1">
      <alignment horizontal="right" vertical="center"/>
    </xf>
    <xf numFmtId="0" fontId="90" fillId="0" borderId="24" xfId="38" applyFont="1" applyBorder="1"/>
    <xf numFmtId="2" fontId="90" fillId="0" borderId="24" xfId="38" applyNumberFormat="1" applyFont="1" applyBorder="1" applyAlignment="1">
      <alignment horizontal="center" vertical="center"/>
    </xf>
    <xf numFmtId="170" fontId="73" fillId="2" borderId="12" xfId="53" applyNumberFormat="1" applyBorder="1" applyAlignment="1" applyProtection="1">
      <alignment horizontal="center" vertical="center"/>
    </xf>
    <xf numFmtId="2" fontId="73" fillId="0" borderId="27" xfId="53" applyNumberFormat="1" applyFill="1" applyAlignment="1" applyProtection="1">
      <alignment horizontal="center" vertical="center"/>
    </xf>
    <xf numFmtId="0" fontId="90" fillId="0" borderId="0" xfId="38" applyFont="1"/>
    <xf numFmtId="164" fontId="51" fillId="16" borderId="12" xfId="38" applyNumberFormat="1" applyFont="1" applyFill="1" applyBorder="1" applyAlignment="1">
      <alignment horizontal="right" vertical="center"/>
    </xf>
    <xf numFmtId="0" fontId="92" fillId="0" borderId="24" xfId="38" applyFont="1" applyBorder="1" applyAlignment="1">
      <alignment horizontal="center" wrapText="1"/>
    </xf>
    <xf numFmtId="0" fontId="17" fillId="0" borderId="15" xfId="38" applyFont="1" applyBorder="1" applyAlignment="1">
      <alignment vertical="center"/>
    </xf>
    <xf numFmtId="0" fontId="92" fillId="0" borderId="24" xfId="38" applyFont="1" applyBorder="1" applyAlignment="1">
      <alignment horizontal="center" vertical="center" wrapText="1"/>
    </xf>
    <xf numFmtId="0" fontId="90" fillId="0" borderId="0" xfId="38" applyFont="1" applyAlignment="1">
      <alignment vertical="center"/>
    </xf>
    <xf numFmtId="2" fontId="92" fillId="0" borderId="24" xfId="38" applyNumberFormat="1" applyFont="1" applyBorder="1" applyAlignment="1">
      <alignment horizontal="center" vertical="center" wrapText="1"/>
    </xf>
    <xf numFmtId="164" fontId="50" fillId="16" borderId="12" xfId="38" applyNumberFormat="1" applyFont="1" applyFill="1" applyBorder="1" applyAlignment="1">
      <alignment horizontal="right" vertical="center"/>
    </xf>
    <xf numFmtId="0" fontId="92" fillId="0" borderId="0" xfId="38" applyFont="1" applyAlignment="1">
      <alignment horizontal="center" vertical="center" wrapText="1"/>
    </xf>
    <xf numFmtId="178" fontId="50" fillId="16" borderId="12" xfId="1" applyNumberFormat="1" applyFont="1" applyFill="1" applyBorder="1" applyAlignment="1" applyProtection="1">
      <alignment horizontal="center" vertical="center"/>
    </xf>
    <xf numFmtId="0" fontId="12" fillId="0" borderId="24" xfId="38" applyFont="1" applyBorder="1" applyAlignment="1">
      <alignment horizontal="center" vertical="center" wrapText="1"/>
    </xf>
    <xf numFmtId="0" fontId="17" fillId="0" borderId="24" xfId="38" applyFont="1" applyBorder="1" applyAlignment="1">
      <alignment horizontal="center" vertical="center"/>
    </xf>
    <xf numFmtId="2" fontId="17" fillId="0" borderId="24" xfId="38" applyNumberFormat="1" applyFont="1" applyBorder="1" applyAlignment="1">
      <alignment horizontal="center" vertical="center"/>
    </xf>
    <xf numFmtId="164" fontId="50" fillId="16" borderId="12" xfId="38" applyNumberFormat="1" applyFont="1" applyFill="1" applyBorder="1" applyAlignment="1">
      <alignment horizontal="center" vertical="center"/>
    </xf>
    <xf numFmtId="0" fontId="17" fillId="15" borderId="15" xfId="38" applyFont="1" applyFill="1" applyBorder="1" applyAlignment="1" applyProtection="1">
      <alignment horizontal="left" wrapText="1" indent="1"/>
      <protection locked="0"/>
    </xf>
    <xf numFmtId="0" fontId="17" fillId="15" borderId="15" xfId="38" applyFont="1" applyFill="1" applyBorder="1" applyAlignment="1" applyProtection="1">
      <alignment horizontal="center"/>
      <protection locked="0"/>
    </xf>
    <xf numFmtId="0" fontId="61" fillId="0" borderId="0" xfId="38" applyFont="1" applyAlignment="1">
      <alignment vertical="center"/>
    </xf>
    <xf numFmtId="0" fontId="57" fillId="21" borderId="20" xfId="38" applyFont="1" applyFill="1" applyBorder="1" applyAlignment="1">
      <alignment horizontal="left" vertical="center" indent="1"/>
    </xf>
    <xf numFmtId="0" fontId="44" fillId="4" borderId="0" xfId="0" applyFont="1" applyFill="1"/>
    <xf numFmtId="0" fontId="17" fillId="0" borderId="21" xfId="38" applyFont="1" applyBorder="1"/>
    <xf numFmtId="0" fontId="19" fillId="0" borderId="12" xfId="38" applyFont="1" applyBorder="1" applyAlignment="1">
      <alignment vertical="center"/>
    </xf>
    <xf numFmtId="0" fontId="19" fillId="0" borderId="12" xfId="38" applyFont="1" applyBorder="1" applyAlignment="1">
      <alignment horizontal="center" vertical="center"/>
    </xf>
    <xf numFmtId="0" fontId="17" fillId="0" borderId="12" xfId="38" applyFont="1" applyBorder="1" applyAlignment="1">
      <alignment horizontal="left" vertical="center" indent="1"/>
    </xf>
    <xf numFmtId="0" fontId="19" fillId="0" borderId="14" xfId="38" applyFont="1" applyBorder="1" applyAlignment="1">
      <alignment horizontal="left" vertical="center" indent="1"/>
    </xf>
    <xf numFmtId="0" fontId="17" fillId="0" borderId="0" xfId="38" applyFont="1" applyAlignment="1">
      <alignment horizontal="left" vertical="center"/>
    </xf>
    <xf numFmtId="164" fontId="73" fillId="2" borderId="27" xfId="53" applyNumberFormat="1" applyAlignment="1" applyProtection="1">
      <alignment horizontal="right" vertical="center"/>
    </xf>
    <xf numFmtId="0" fontId="17" fillId="0" borderId="45" xfId="38" applyFont="1" applyBorder="1" applyAlignment="1">
      <alignment horizontal="center"/>
    </xf>
    <xf numFmtId="0" fontId="17" fillId="15" borderId="12" xfId="38" applyFont="1" applyFill="1" applyBorder="1" applyAlignment="1" applyProtection="1">
      <alignment horizontal="center" vertical="center"/>
      <protection locked="0"/>
    </xf>
    <xf numFmtId="164" fontId="17" fillId="15" borderId="12" xfId="1" applyFont="1" applyFill="1" applyBorder="1" applyAlignment="1" applyProtection="1">
      <alignment horizontal="center" vertical="center"/>
      <protection locked="0"/>
    </xf>
    <xf numFmtId="0" fontId="17" fillId="15" borderId="12" xfId="38" applyFont="1" applyFill="1" applyBorder="1" applyAlignment="1" applyProtection="1">
      <alignment horizontal="center" vertical="center" wrapText="1"/>
      <protection locked="0"/>
    </xf>
    <xf numFmtId="0" fontId="17" fillId="0" borderId="0" xfId="38" applyFont="1" applyAlignment="1">
      <alignment horizontal="left"/>
    </xf>
    <xf numFmtId="0" fontId="87" fillId="0" borderId="0" xfId="38" applyFont="1" applyAlignment="1">
      <alignment vertical="center"/>
    </xf>
    <xf numFmtId="0" fontId="19" fillId="0" borderId="12" xfId="38" applyFont="1" applyBorder="1" applyAlignment="1">
      <alignment horizontal="left" vertical="center" wrapText="1" indent="1"/>
    </xf>
    <xf numFmtId="2" fontId="19" fillId="0" borderId="0" xfId="38" applyNumberFormat="1" applyFont="1" applyAlignment="1">
      <alignment horizontal="left" vertical="center"/>
    </xf>
    <xf numFmtId="0" fontId="10" fillId="0" borderId="12" xfId="38" applyBorder="1" applyAlignment="1">
      <alignment horizontal="left" vertical="center" indent="1"/>
    </xf>
    <xf numFmtId="164" fontId="73" fillId="2" borderId="27" xfId="53" applyNumberFormat="1" applyAlignment="1" applyProtection="1">
      <alignment horizontal="center" vertical="center"/>
    </xf>
    <xf numFmtId="0" fontId="10" fillId="0" borderId="3" xfId="38" applyBorder="1" applyAlignment="1">
      <alignment horizontal="left" vertical="center" indent="1"/>
    </xf>
    <xf numFmtId="169" fontId="17" fillId="0" borderId="12" xfId="1" applyNumberFormat="1" applyFont="1" applyFill="1" applyBorder="1" applyAlignment="1" applyProtection="1">
      <alignment horizontal="left" vertical="center"/>
    </xf>
    <xf numFmtId="164" fontId="17" fillId="0" borderId="0" xfId="38" applyNumberFormat="1" applyFont="1" applyAlignment="1">
      <alignment horizontal="center"/>
    </xf>
    <xf numFmtId="0" fontId="17" fillId="0" borderId="0" xfId="38" applyFont="1" applyAlignment="1">
      <alignment horizontal="left" indent="1"/>
    </xf>
    <xf numFmtId="2" fontId="17" fillId="0" borderId="0" xfId="38" applyNumberFormat="1" applyFont="1" applyAlignment="1">
      <alignment horizontal="left"/>
    </xf>
    <xf numFmtId="0" fontId="19" fillId="0" borderId="0" xfId="38" applyFont="1" applyAlignment="1">
      <alignment horizontal="right" vertical="center" indent="1"/>
    </xf>
    <xf numFmtId="164" fontId="10" fillId="15" borderId="12" xfId="1" applyFont="1" applyFill="1" applyBorder="1" applyAlignment="1" applyProtection="1">
      <alignment horizontal="center" vertical="center"/>
      <protection locked="0"/>
    </xf>
    <xf numFmtId="2" fontId="17" fillId="15" borderId="12" xfId="38" applyNumberFormat="1" applyFont="1" applyFill="1" applyBorder="1" applyAlignment="1" applyProtection="1">
      <alignment horizontal="left" vertical="center" indent="1"/>
      <protection locked="0"/>
    </xf>
    <xf numFmtId="0" fontId="19" fillId="15" borderId="12" xfId="38" applyFont="1" applyFill="1" applyBorder="1" applyAlignment="1" applyProtection="1">
      <alignment horizontal="center" vertical="center" wrapText="1"/>
      <protection locked="0"/>
    </xf>
    <xf numFmtId="0" fontId="10" fillId="15" borderId="12" xfId="38" applyFill="1" applyBorder="1" applyAlignment="1" applyProtection="1">
      <alignment horizontal="left" vertical="center" indent="1"/>
      <protection locked="0"/>
    </xf>
    <xf numFmtId="0" fontId="19" fillId="0" borderId="0" xfId="38" applyFont="1" applyAlignment="1">
      <alignment horizontal="left" vertical="center"/>
    </xf>
    <xf numFmtId="170" fontId="17" fillId="0" borderId="12" xfId="38" applyNumberFormat="1" applyFont="1" applyBorder="1" applyAlignment="1">
      <alignment horizontal="center" vertical="center"/>
    </xf>
    <xf numFmtId="164" fontId="17" fillId="0" borderId="0" xfId="1" applyFont="1" applyAlignment="1" applyProtection="1">
      <alignment vertical="center"/>
    </xf>
    <xf numFmtId="1" fontId="17" fillId="0" borderId="12" xfId="38" applyNumberFormat="1" applyFont="1" applyBorder="1" applyAlignment="1">
      <alignment horizontal="center" vertical="center"/>
    </xf>
    <xf numFmtId="164" fontId="17" fillId="0" borderId="0" xfId="38" applyNumberFormat="1" applyFont="1" applyAlignment="1">
      <alignment horizontal="right" vertical="center"/>
    </xf>
    <xf numFmtId="0" fontId="92" fillId="0" borderId="24" xfId="38" applyFont="1" applyBorder="1" applyAlignment="1">
      <alignment horizontal="center" vertical="center"/>
    </xf>
    <xf numFmtId="0" fontId="97" fillId="0" borderId="0" xfId="38" applyFont="1" applyAlignment="1">
      <alignment horizontal="center" vertical="center"/>
    </xf>
    <xf numFmtId="0" fontId="90" fillId="0" borderId="24" xfId="38" applyFont="1" applyBorder="1" applyAlignment="1">
      <alignment horizontal="center"/>
    </xf>
    <xf numFmtId="2" fontId="100" fillId="0" borderId="0" xfId="38" applyNumberFormat="1" applyFont="1" applyAlignment="1">
      <alignment horizontal="center" vertical="center"/>
    </xf>
    <xf numFmtId="0" fontId="100" fillId="0" borderId="0" xfId="38" applyFont="1"/>
    <xf numFmtId="168" fontId="0" fillId="24" borderId="12" xfId="0" applyNumberFormat="1" applyFill="1" applyBorder="1" applyAlignment="1">
      <alignment vertical="center"/>
    </xf>
    <xf numFmtId="0" fontId="50" fillId="21" borderId="15" xfId="38" applyFont="1" applyFill="1" applyBorder="1" applyAlignment="1">
      <alignment horizontal="left" vertical="center" indent="1"/>
    </xf>
    <xf numFmtId="0" fontId="17" fillId="21" borderId="0" xfId="38" applyFont="1" applyFill="1" applyAlignment="1">
      <alignment vertical="center"/>
    </xf>
    <xf numFmtId="0" fontId="16" fillId="25" borderId="15" xfId="0" applyFont="1" applyFill="1" applyBorder="1" applyAlignment="1">
      <alignment horizontal="left" vertical="center" indent="1"/>
    </xf>
    <xf numFmtId="0" fontId="16" fillId="25" borderId="16" xfId="0" applyFont="1" applyFill="1" applyBorder="1" applyAlignment="1">
      <alignment horizontal="left" vertical="center"/>
    </xf>
    <xf numFmtId="0" fontId="16" fillId="25" borderId="17" xfId="0" applyFont="1" applyFill="1" applyBorder="1" applyAlignment="1">
      <alignment horizontal="left" vertical="center"/>
    </xf>
    <xf numFmtId="0" fontId="16" fillId="25" borderId="16" xfId="0" applyFont="1" applyFill="1" applyBorder="1" applyAlignment="1">
      <alignment horizontal="left" vertical="center" indent="1"/>
    </xf>
    <xf numFmtId="0" fontId="16" fillId="25" borderId="16" xfId="0" applyFont="1" applyFill="1" applyBorder="1" applyAlignment="1">
      <alignment vertical="center"/>
    </xf>
    <xf numFmtId="0" fontId="16" fillId="25" borderId="17" xfId="0" applyFont="1" applyFill="1" applyBorder="1" applyAlignment="1">
      <alignment vertical="center"/>
    </xf>
    <xf numFmtId="0" fontId="84" fillId="0" borderId="12" xfId="38" applyFont="1" applyBorder="1" applyAlignment="1">
      <alignment wrapText="1"/>
    </xf>
    <xf numFmtId="0" fontId="84" fillId="0" borderId="15" xfId="38" applyFont="1" applyBorder="1" applyAlignment="1">
      <alignment horizontal="center" vertical="center" wrapText="1"/>
    </xf>
    <xf numFmtId="0" fontId="84" fillId="0" borderId="12" xfId="38" applyFont="1" applyBorder="1" applyAlignment="1">
      <alignment horizontal="center" vertical="center" wrapText="1"/>
    </xf>
    <xf numFmtId="0" fontId="84" fillId="0" borderId="17" xfId="38" applyFont="1" applyBorder="1" applyAlignment="1">
      <alignment horizontal="center" vertical="center" wrapText="1"/>
    </xf>
    <xf numFmtId="0" fontId="50" fillId="16" borderId="12" xfId="38" applyFont="1" applyFill="1" applyBorder="1" applyAlignment="1">
      <alignment horizontal="center" vertical="center" wrapText="1"/>
    </xf>
    <xf numFmtId="0" fontId="0" fillId="0" borderId="0" xfId="0" applyAlignment="1">
      <alignment wrapText="1"/>
    </xf>
    <xf numFmtId="0" fontId="10" fillId="0" borderId="0" xfId="0" applyFont="1" applyAlignment="1">
      <alignment horizontal="center" vertical="center"/>
    </xf>
    <xf numFmtId="0" fontId="0" fillId="0" borderId="12" xfId="0" applyBorder="1" applyAlignment="1">
      <alignment vertical="center"/>
    </xf>
    <xf numFmtId="1" fontId="0" fillId="0" borderId="12" xfId="0" applyNumberFormat="1" applyBorder="1" applyAlignment="1">
      <alignment horizontal="center" vertical="center"/>
    </xf>
    <xf numFmtId="164" fontId="0" fillId="24" borderId="12" xfId="0" applyNumberFormat="1" applyFill="1" applyBorder="1" applyAlignment="1">
      <alignment vertical="center"/>
    </xf>
    <xf numFmtId="164" fontId="73" fillId="2" borderId="27" xfId="53" applyNumberFormat="1" applyAlignment="1" applyProtection="1">
      <alignment vertical="center"/>
    </xf>
    <xf numFmtId="164" fontId="73" fillId="2" borderId="27" xfId="1" applyFont="1" applyFill="1" applyBorder="1" applyAlignment="1" applyProtection="1">
      <alignment vertical="center"/>
    </xf>
    <xf numFmtId="164" fontId="53" fillId="16" borderId="12" xfId="0" applyNumberFormat="1" applyFont="1" applyFill="1" applyBorder="1" applyAlignment="1">
      <alignment vertical="center"/>
    </xf>
    <xf numFmtId="164" fontId="0" fillId="0" borderId="12" xfId="0" applyNumberFormat="1" applyBorder="1" applyAlignment="1">
      <alignment vertical="center"/>
    </xf>
    <xf numFmtId="164" fontId="57" fillId="16" borderId="12" xfId="0" applyNumberFormat="1" applyFont="1" applyFill="1" applyBorder="1" applyAlignment="1">
      <alignment vertical="center"/>
    </xf>
    <xf numFmtId="2" fontId="0" fillId="0" borderId="0" xfId="0" applyNumberFormat="1" applyAlignment="1">
      <alignment horizontal="center" vertical="center"/>
    </xf>
    <xf numFmtId="0" fontId="10" fillId="0" borderId="0" xfId="0" applyFont="1" applyAlignment="1">
      <alignment horizontal="center"/>
    </xf>
    <xf numFmtId="170" fontId="0" fillId="0" borderId="0" xfId="0" applyNumberFormat="1" applyAlignment="1">
      <alignment horizontal="center" vertical="center"/>
    </xf>
    <xf numFmtId="2" fontId="0" fillId="0" borderId="0" xfId="0" applyNumberFormat="1" applyAlignment="1">
      <alignment horizontal="center"/>
    </xf>
    <xf numFmtId="168" fontId="0" fillId="0" borderId="0" xfId="0" applyNumberFormat="1"/>
    <xf numFmtId="175" fontId="0" fillId="0" borderId="0" xfId="0" applyNumberFormat="1" applyAlignment="1">
      <alignment vertical="center"/>
    </xf>
    <xf numFmtId="164" fontId="0" fillId="0" borderId="0" xfId="0" applyNumberFormat="1" applyAlignment="1">
      <alignment vertical="center"/>
    </xf>
    <xf numFmtId="164" fontId="57" fillId="16" borderId="0" xfId="0" applyNumberFormat="1" applyFont="1" applyFill="1" applyAlignment="1">
      <alignment vertical="center"/>
    </xf>
    <xf numFmtId="0" fontId="101" fillId="15" borderId="12" xfId="10" applyFont="1" applyFill="1" applyBorder="1" applyAlignment="1" applyProtection="1">
      <alignment horizontal="center" vertical="center"/>
      <protection locked="0"/>
    </xf>
    <xf numFmtId="0" fontId="0" fillId="15" borderId="15" xfId="0" applyFill="1" applyBorder="1" applyAlignment="1" applyProtection="1">
      <alignment horizontal="left" vertical="center" wrapText="1" indent="1"/>
      <protection locked="0"/>
    </xf>
    <xf numFmtId="0" fontId="0" fillId="15" borderId="12" xfId="0" applyFill="1" applyBorder="1" applyAlignment="1" applyProtection="1">
      <alignment vertical="center"/>
      <protection locked="0"/>
    </xf>
    <xf numFmtId="0" fontId="10" fillId="4" borderId="15" xfId="38" applyFill="1" applyBorder="1" applyAlignment="1">
      <alignment vertical="top"/>
    </xf>
    <xf numFmtId="0" fontId="10" fillId="4" borderId="16" xfId="38" applyFill="1" applyBorder="1" applyAlignment="1">
      <alignment vertical="top"/>
    </xf>
    <xf numFmtId="0" fontId="16" fillId="4" borderId="16" xfId="38" applyFont="1" applyFill="1" applyBorder="1" applyAlignment="1">
      <alignment horizontal="center" vertical="center"/>
    </xf>
    <xf numFmtId="0" fontId="10" fillId="4" borderId="17" xfId="38" applyFill="1" applyBorder="1" applyAlignment="1">
      <alignment vertical="top"/>
    </xf>
    <xf numFmtId="165" fontId="17" fillId="0" borderId="12" xfId="1" applyNumberFormat="1" applyFont="1" applyBorder="1" applyAlignment="1" applyProtection="1">
      <alignment horizontal="center" vertical="center"/>
    </xf>
    <xf numFmtId="172" fontId="17" fillId="0" borderId="17" xfId="38" applyNumberFormat="1" applyFont="1" applyBorder="1" applyAlignment="1">
      <alignment horizontal="center" vertical="center"/>
    </xf>
    <xf numFmtId="172" fontId="17" fillId="0" borderId="0" xfId="38" applyNumberFormat="1" applyFont="1"/>
    <xf numFmtId="172" fontId="73" fillId="2" borderId="27" xfId="53" applyNumberFormat="1" applyAlignment="1" applyProtection="1">
      <alignment horizontal="center" vertical="center"/>
    </xf>
    <xf numFmtId="0" fontId="19" fillId="0" borderId="15" xfId="38" applyFont="1" applyBorder="1" applyAlignment="1">
      <alignment horizontal="left" vertical="center" indent="1"/>
    </xf>
    <xf numFmtId="0" fontId="93" fillId="0" borderId="24" xfId="38" applyFont="1" applyBorder="1" applyAlignment="1">
      <alignment horizontal="center" vertical="center" wrapText="1"/>
    </xf>
    <xf numFmtId="0" fontId="79" fillId="0" borderId="24" xfId="38" applyFont="1" applyBorder="1" applyAlignment="1">
      <alignment horizontal="center" vertical="center"/>
    </xf>
    <xf numFmtId="0" fontId="79" fillId="0" borderId="24" xfId="38" applyFont="1" applyBorder="1"/>
    <xf numFmtId="0" fontId="10" fillId="0" borderId="0" xfId="38" applyAlignment="1">
      <alignment vertical="center"/>
    </xf>
    <xf numFmtId="2" fontId="73" fillId="2" borderId="33" xfId="53" applyNumberFormat="1" applyBorder="1" applyAlignment="1" applyProtection="1">
      <alignment horizontal="center" vertical="center"/>
    </xf>
    <xf numFmtId="0" fontId="19" fillId="0" borderId="12" xfId="38" applyFont="1" applyBorder="1" applyAlignment="1">
      <alignment horizontal="left" vertical="center"/>
    </xf>
    <xf numFmtId="2" fontId="94" fillId="2" borderId="24" xfId="53" applyNumberFormat="1" applyFont="1" applyBorder="1" applyAlignment="1" applyProtection="1">
      <alignment horizontal="center" vertical="center"/>
    </xf>
    <xf numFmtId="0" fontId="17" fillId="15" borderId="15" xfId="38" applyFont="1" applyFill="1" applyBorder="1" applyAlignment="1" applyProtection="1">
      <alignment horizontal="left" vertical="center" indent="1"/>
      <protection locked="0"/>
    </xf>
    <xf numFmtId="0" fontId="15" fillId="0" borderId="0" xfId="23"/>
    <xf numFmtId="1" fontId="77" fillId="0" borderId="28" xfId="11" applyNumberFormat="1" applyFont="1" applyBorder="1" applyAlignment="1">
      <alignment horizontal="center"/>
    </xf>
    <xf numFmtId="0" fontId="63" fillId="21" borderId="22" xfId="38" applyFont="1" applyFill="1" applyBorder="1" applyAlignment="1">
      <alignment horizontal="left" vertical="center" indent="1"/>
    </xf>
    <xf numFmtId="0" fontId="75" fillId="18" borderId="16" xfId="33" applyFont="1" applyFill="1" applyBorder="1" applyAlignment="1">
      <alignment horizontal="left" vertical="center" wrapText="1" indent="1"/>
    </xf>
    <xf numFmtId="0" fontId="32" fillId="0" borderId="0" xfId="11" applyFont="1"/>
    <xf numFmtId="0" fontId="32" fillId="0" borderId="0" xfId="13" applyFont="1">
      <protection hidden="1"/>
    </xf>
    <xf numFmtId="2" fontId="32" fillId="0" borderId="0" xfId="13" applyNumberFormat="1" applyFont="1">
      <protection hidden="1"/>
    </xf>
    <xf numFmtId="2" fontId="32" fillId="0" borderId="0" xfId="11" applyNumberFormat="1" applyFont="1"/>
    <xf numFmtId="0" fontId="75" fillId="0" borderId="0" xfId="33" applyFont="1" applyAlignment="1">
      <alignment vertical="center" wrapText="1"/>
    </xf>
    <xf numFmtId="0" fontId="81" fillId="0" borderId="28" xfId="38" applyFont="1" applyBorder="1" applyAlignment="1">
      <alignment horizontal="center" vertical="center" wrapText="1"/>
    </xf>
    <xf numFmtId="0" fontId="36" fillId="0" borderId="0" xfId="11" applyFont="1"/>
    <xf numFmtId="0" fontId="45" fillId="0" borderId="28" xfId="38" applyFont="1" applyBorder="1" applyAlignment="1">
      <alignment horizontal="center" vertical="center" wrapText="1"/>
    </xf>
    <xf numFmtId="0" fontId="10" fillId="0" borderId="0" xfId="47"/>
    <xf numFmtId="0" fontId="31" fillId="0" borderId="0" xfId="13" applyFont="1">
      <protection hidden="1"/>
    </xf>
    <xf numFmtId="0" fontId="79" fillId="0" borderId="28" xfId="47" applyFont="1" applyBorder="1"/>
    <xf numFmtId="0" fontId="33" fillId="0" borderId="28" xfId="38" applyFont="1" applyBorder="1" applyAlignment="1">
      <alignment horizontal="center" vertical="center" wrapText="1"/>
    </xf>
    <xf numFmtId="0" fontId="34" fillId="0" borderId="0" xfId="11" applyFont="1" applyAlignment="1">
      <alignment horizontal="center" vertical="center" wrapText="1"/>
    </xf>
    <xf numFmtId="0" fontId="88" fillId="0" borderId="35" xfId="47" applyFont="1" applyBorder="1" applyAlignment="1">
      <alignment horizontal="left" indent="1"/>
    </xf>
    <xf numFmtId="0" fontId="79" fillId="0" borderId="0" xfId="47" applyFont="1"/>
    <xf numFmtId="0" fontId="7" fillId="0" borderId="0" xfId="11"/>
    <xf numFmtId="0" fontId="7" fillId="0" borderId="0" xfId="11" applyAlignment="1">
      <alignment horizontal="center"/>
    </xf>
    <xf numFmtId="2" fontId="32" fillId="0" borderId="28" xfId="11" applyNumberFormat="1" applyFont="1" applyBorder="1"/>
    <xf numFmtId="0" fontId="7" fillId="0" borderId="28" xfId="11" applyBorder="1"/>
    <xf numFmtId="0" fontId="16" fillId="0" borderId="28" xfId="20" applyFont="1" applyBorder="1" applyAlignment="1">
      <alignment horizontal="right"/>
      <protection hidden="1"/>
    </xf>
    <xf numFmtId="0" fontId="33" fillId="0" borderId="29" xfId="38" applyFont="1" applyBorder="1" applyAlignment="1">
      <alignment horizontal="center" vertical="center" wrapText="1"/>
    </xf>
    <xf numFmtId="0" fontId="79" fillId="0" borderId="24" xfId="47" applyFont="1" applyBorder="1" applyAlignment="1">
      <alignment horizontal="center"/>
    </xf>
    <xf numFmtId="0" fontId="52" fillId="0" borderId="0" xfId="0" applyFont="1" applyAlignment="1">
      <alignment horizontal="right"/>
    </xf>
    <xf numFmtId="0" fontId="33" fillId="0" borderId="31" xfId="38" applyFont="1" applyBorder="1" applyAlignment="1">
      <alignment horizontal="center" vertical="center" wrapText="1"/>
    </xf>
    <xf numFmtId="0" fontId="32" fillId="0" borderId="31" xfId="38" applyFont="1" applyBorder="1" applyAlignment="1">
      <alignment horizontal="center" vertical="center" wrapText="1"/>
    </xf>
    <xf numFmtId="0" fontId="1" fillId="0" borderId="0" xfId="11" applyFont="1" applyAlignment="1">
      <alignment horizontal="left" vertical="center"/>
    </xf>
    <xf numFmtId="0" fontId="79" fillId="0" borderId="28" xfId="47" applyFont="1" applyBorder="1" applyAlignment="1">
      <alignment horizontal="center"/>
    </xf>
    <xf numFmtId="0" fontId="75" fillId="18" borderId="16" xfId="33" applyFont="1" applyFill="1" applyBorder="1" applyAlignment="1">
      <alignment vertical="center" wrapText="1"/>
    </xf>
    <xf numFmtId="0" fontId="75" fillId="18" borderId="15" xfId="33" applyFont="1" applyFill="1" applyBorder="1" applyAlignment="1">
      <alignment vertical="center" wrapText="1"/>
    </xf>
    <xf numFmtId="0" fontId="0" fillId="0" borderId="0" xfId="47" applyFont="1"/>
    <xf numFmtId="0" fontId="33" fillId="0" borderId="32" xfId="38" applyFont="1" applyBorder="1" applyAlignment="1">
      <alignment horizontal="center" vertical="center" wrapText="1"/>
    </xf>
    <xf numFmtId="0" fontId="33" fillId="0" borderId="30" xfId="38" applyFont="1" applyBorder="1" applyAlignment="1">
      <alignment horizontal="center" vertical="center" wrapText="1"/>
    </xf>
    <xf numFmtId="0" fontId="10" fillId="0" borderId="0" xfId="23" applyFont="1"/>
    <xf numFmtId="0" fontId="15" fillId="0" borderId="16" xfId="23" applyBorder="1"/>
    <xf numFmtId="0" fontId="15" fillId="0" borderId="17" xfId="23" applyBorder="1"/>
    <xf numFmtId="0" fontId="10" fillId="0" borderId="0" xfId="23" applyFont="1" applyAlignment="1">
      <alignment horizontal="left" indent="1"/>
    </xf>
    <xf numFmtId="0" fontId="33" fillId="0" borderId="43" xfId="38" applyFont="1" applyBorder="1" applyAlignment="1">
      <alignment horizontal="center" vertical="center" wrapText="1"/>
    </xf>
    <xf numFmtId="0" fontId="15" fillId="0" borderId="12" xfId="23" applyBorder="1"/>
    <xf numFmtId="0" fontId="36" fillId="0" borderId="12" xfId="11" applyFont="1" applyBorder="1"/>
    <xf numFmtId="0" fontId="79" fillId="0" borderId="24" xfId="0" applyFont="1" applyBorder="1" applyAlignment="1">
      <alignment horizontal="center"/>
    </xf>
    <xf numFmtId="0" fontId="57" fillId="21" borderId="15" xfId="0" applyFont="1" applyFill="1" applyBorder="1" applyAlignment="1">
      <alignment horizontal="left" vertical="center" indent="1"/>
    </xf>
    <xf numFmtId="0" fontId="0" fillId="21" borderId="16" xfId="0" applyFill="1" applyBorder="1"/>
    <xf numFmtId="0" fontId="0" fillId="21" borderId="17" xfId="0" applyFill="1" applyBorder="1"/>
    <xf numFmtId="0" fontId="85" fillId="0" borderId="0" xfId="0" applyFont="1" applyAlignment="1">
      <alignment horizontal="right"/>
    </xf>
    <xf numFmtId="0" fontId="10" fillId="0" borderId="0" xfId="33" applyAlignment="1">
      <alignment horizontal="right"/>
    </xf>
    <xf numFmtId="0" fontId="99" fillId="23" borderId="12" xfId="0" applyFont="1" applyFill="1" applyBorder="1" applyAlignment="1">
      <alignment horizontal="center" vertical="center" wrapText="1"/>
    </xf>
    <xf numFmtId="0" fontId="10" fillId="0" borderId="12" xfId="0" applyFont="1" applyBorder="1" applyAlignment="1">
      <alignment horizontal="center" vertical="center" wrapText="1"/>
    </xf>
    <xf numFmtId="0" fontId="10" fillId="0" borderId="0" xfId="33" applyAlignment="1">
      <alignment horizontal="right" vertical="center"/>
    </xf>
    <xf numFmtId="0" fontId="99" fillId="23" borderId="12" xfId="0" applyFont="1" applyFill="1" applyBorder="1" applyAlignment="1">
      <alignment horizontal="center" vertical="center"/>
    </xf>
    <xf numFmtId="0" fontId="99" fillId="23" borderId="12" xfId="0" applyFont="1" applyFill="1" applyBorder="1" applyAlignment="1">
      <alignment horizontal="left" indent="1"/>
    </xf>
    <xf numFmtId="0" fontId="12" fillId="0" borderId="12" xfId="0" applyFont="1" applyBorder="1"/>
    <xf numFmtId="0" fontId="16" fillId="0" borderId="0" xfId="33" applyFont="1" applyAlignment="1">
      <alignment horizontal="right"/>
    </xf>
    <xf numFmtId="0" fontId="53" fillId="23" borderId="12" xfId="33" applyFont="1" applyFill="1" applyBorder="1" applyAlignment="1">
      <alignment horizontal="left" indent="1"/>
    </xf>
    <xf numFmtId="164" fontId="0" fillId="0" borderId="0" xfId="1" applyFont="1" applyBorder="1" applyProtection="1"/>
    <xf numFmtId="0" fontId="53" fillId="23" borderId="15" xfId="0" applyFont="1" applyFill="1" applyBorder="1" applyAlignment="1">
      <alignment horizontal="left" vertical="center" wrapText="1"/>
    </xf>
    <xf numFmtId="0" fontId="53" fillId="23" borderId="12" xfId="0" applyFont="1" applyFill="1" applyBorder="1" applyAlignment="1">
      <alignment horizontal="center" vertical="center" wrapText="1"/>
    </xf>
    <xf numFmtId="0" fontId="42" fillId="0" borderId="0" xfId="0" applyFont="1" applyAlignment="1">
      <alignment horizontal="right"/>
    </xf>
    <xf numFmtId="0" fontId="42" fillId="0" borderId="0" xfId="0" applyFont="1" applyAlignment="1">
      <alignment horizontal="left"/>
    </xf>
    <xf numFmtId="0" fontId="53" fillId="23" borderId="15" xfId="0" applyFont="1" applyFill="1" applyBorder="1" applyAlignment="1">
      <alignment horizontal="center" vertical="center" wrapText="1"/>
    </xf>
    <xf numFmtId="0" fontId="45" fillId="0" borderId="0" xfId="0" applyFont="1"/>
    <xf numFmtId="0" fontId="45" fillId="0" borderId="0" xfId="0" applyFont="1" applyAlignment="1">
      <alignment horizontal="left" vertical="center" wrapText="1"/>
    </xf>
    <xf numFmtId="0" fontId="12" fillId="0" borderId="10" xfId="0" applyFont="1" applyBorder="1" applyAlignment="1">
      <alignment horizontal="left" vertical="center"/>
    </xf>
    <xf numFmtId="0" fontId="12" fillId="0" borderId="0" xfId="0" applyFont="1" applyAlignment="1">
      <alignment horizontal="left" vertical="center"/>
    </xf>
    <xf numFmtId="0" fontId="63" fillId="21" borderId="15" xfId="38" applyFont="1" applyFill="1" applyBorder="1" applyAlignment="1">
      <alignment horizontal="left" vertical="center" indent="1"/>
    </xf>
    <xf numFmtId="0" fontId="63" fillId="21" borderId="16" xfId="38" applyFont="1" applyFill="1" applyBorder="1" applyAlignment="1">
      <alignment horizontal="left" vertical="center" indent="1"/>
    </xf>
    <xf numFmtId="0" fontId="63" fillId="21" borderId="17" xfId="38" applyFont="1" applyFill="1" applyBorder="1" applyAlignment="1">
      <alignment horizontal="left" vertical="center" indent="1"/>
    </xf>
    <xf numFmtId="0" fontId="16" fillId="0" borderId="14" xfId="0" applyFont="1" applyBorder="1"/>
    <xf numFmtId="0" fontId="16" fillId="0" borderId="0" xfId="0" applyFont="1"/>
    <xf numFmtId="0" fontId="0" fillId="0" borderId="14" xfId="0" applyBorder="1"/>
    <xf numFmtId="174" fontId="0" fillId="0" borderId="12" xfId="0" applyNumberFormat="1" applyBorder="1" applyAlignment="1">
      <alignment horizontal="center"/>
    </xf>
    <xf numFmtId="0" fontId="10" fillId="0" borderId="15" xfId="0" applyFont="1" applyBorder="1"/>
    <xf numFmtId="174" fontId="0" fillId="0" borderId="3" xfId="0" applyNumberFormat="1" applyBorder="1" applyAlignment="1">
      <alignment horizontal="center"/>
    </xf>
    <xf numFmtId="2" fontId="0" fillId="0" borderId="3" xfId="0" applyNumberFormat="1" applyBorder="1" applyAlignment="1">
      <alignment horizontal="center"/>
    </xf>
    <xf numFmtId="0" fontId="10" fillId="0" borderId="13" xfId="0" applyFont="1" applyBorder="1"/>
    <xf numFmtId="0" fontId="0" fillId="0" borderId="4" xfId="0" applyBorder="1"/>
    <xf numFmtId="0" fontId="0" fillId="0" borderId="5" xfId="0" applyBorder="1"/>
    <xf numFmtId="2" fontId="0" fillId="0" borderId="5" xfId="0" applyNumberFormat="1" applyBorder="1" applyAlignment="1">
      <alignment horizontal="center"/>
    </xf>
    <xf numFmtId="174" fontId="0" fillId="0" borderId="5" xfId="0" applyNumberFormat="1" applyBorder="1" applyAlignment="1">
      <alignment horizontal="center"/>
    </xf>
    <xf numFmtId="174" fontId="0" fillId="0" borderId="7" xfId="0" applyNumberFormat="1" applyBorder="1" applyAlignment="1">
      <alignment horizontal="center"/>
    </xf>
    <xf numFmtId="2" fontId="0" fillId="0" borderId="7" xfId="0" applyNumberFormat="1" applyBorder="1" applyAlignment="1">
      <alignment horizontal="center"/>
    </xf>
    <xf numFmtId="0" fontId="10" fillId="0" borderId="11" xfId="0" applyFont="1" applyBorder="1"/>
    <xf numFmtId="0" fontId="0" fillId="0" borderId="8" xfId="0" applyBorder="1"/>
    <xf numFmtId="0" fontId="10" fillId="0" borderId="9" xfId="0" applyFont="1" applyBorder="1"/>
    <xf numFmtId="0" fontId="0" fillId="0" borderId="10" xfId="0" applyBorder="1"/>
    <xf numFmtId="0" fontId="0" fillId="0" borderId="11" xfId="0" applyBorder="1"/>
    <xf numFmtId="0" fontId="0" fillId="0" borderId="7" xfId="0" applyBorder="1"/>
    <xf numFmtId="174" fontId="10" fillId="0" borderId="3" xfId="0" applyNumberFormat="1" applyFont="1" applyBorder="1" applyAlignment="1">
      <alignment horizontal="center"/>
    </xf>
    <xf numFmtId="15" fontId="10" fillId="0" borderId="0" xfId="0" applyNumberFormat="1" applyFont="1" applyBorder="1"/>
    <xf numFmtId="0" fontId="10" fillId="0" borderId="0" xfId="0" applyFont="1" applyBorder="1"/>
    <xf numFmtId="0" fontId="0" fillId="0" borderId="0" xfId="0" applyBorder="1"/>
    <xf numFmtId="0" fontId="0" fillId="0" borderId="3" xfId="0" applyBorder="1"/>
  </cellXfs>
  <cellStyles count="57">
    <cellStyle name="20% - Accent1 2" xfId="15" xr:uid="{3E58E2D2-F9F5-4ABE-9A3A-B90AED6D04F9}"/>
    <cellStyle name="Comma" xfId="46" builtinId="3"/>
    <cellStyle name="Comma 2" xfId="16" xr:uid="{98C6F8BD-D045-495A-BE8C-E57D5FFB07EC}"/>
    <cellStyle name="Comma 2 2" xfId="28" xr:uid="{9BD57737-9F0A-4692-98F2-F86BCC965214}"/>
    <cellStyle name="Comma 2 2 2" xfId="55" xr:uid="{6C4C7CF0-95A4-4FB6-9AF9-48DF780041D1}"/>
    <cellStyle name="Comma 3" xfId="29" xr:uid="{B24E7200-343A-4B09-AD2E-82681686B6D0}"/>
    <cellStyle name="Comma 4" xfId="41" xr:uid="{56D9085A-25ED-4B84-84E3-A90D9E800F54}"/>
    <cellStyle name="Comma 5" xfId="51" xr:uid="{9954EA8D-6F62-4894-8311-D19AEC9C0B42}"/>
    <cellStyle name="Currency" xfId="1" builtinId="4"/>
    <cellStyle name="Currency 2" xfId="12" xr:uid="{12C268EB-7711-476E-9033-FB1CAE2A092E}"/>
    <cellStyle name="Currency 2 2" xfId="5" xr:uid="{17B340A7-FAA2-4B50-8384-CBB4EC398744}"/>
    <cellStyle name="Currency 2 2 2" xfId="34" xr:uid="{DAB38769-516D-4D64-BD70-A17719306CB3}"/>
    <cellStyle name="Currency 2 3" xfId="26" xr:uid="{1BDA0C9C-F4F3-403B-9E06-6E3C35BA1FFA}"/>
    <cellStyle name="Currency 2 4" xfId="49" xr:uid="{B8B691E1-BAC0-4324-BF4B-F4BB4901BA05}"/>
    <cellStyle name="Currency 3" xfId="4" xr:uid="{D19752F4-D19E-414C-972A-1BB162363477}"/>
    <cellStyle name="Currency 3 2" xfId="36" xr:uid="{A44DD756-AB36-4D64-BB26-DA1C8873C258}"/>
    <cellStyle name="Currency 4" xfId="22" xr:uid="{7E096DC0-9FD2-47E3-B414-643B9BC5F4D2}"/>
    <cellStyle name="Currency 5" xfId="44" xr:uid="{F9F68E78-B11E-44BE-A49C-C3DD68033154}"/>
    <cellStyle name="Currency 6" xfId="52" xr:uid="{0CB3CABB-90E0-4C5E-920D-AF878FEC65B0}"/>
    <cellStyle name="Currency_COLLATED TOOL_V3" xfId="9" xr:uid="{38A26759-8D1F-4D34-AD10-3D67BA8A5501}"/>
    <cellStyle name="Heading 2" xfId="2" builtinId="17"/>
    <cellStyle name="Heading 3" xfId="3" builtinId="18"/>
    <cellStyle name="Hyperlink" xfId="10" builtinId="8"/>
    <cellStyle name="Hyperlink 2" xfId="24" xr:uid="{FD23402B-1C77-4F30-907A-7F229D34B843}"/>
    <cellStyle name="Normal" xfId="0" builtinId="0"/>
    <cellStyle name="Normal 2" xfId="11" xr:uid="{34BBF1F5-1BE0-4282-868D-0A5AF0ABFC41}"/>
    <cellStyle name="Normal 2 2" xfId="31" xr:uid="{D3364BD7-BBD4-41B4-ADA6-00CBE8A81244}"/>
    <cellStyle name="Normal 2 3" xfId="39" xr:uid="{A1D0CD97-A969-4848-B735-2CB32E04956A}"/>
    <cellStyle name="Normal 2 4" xfId="7" xr:uid="{28590E1D-FA74-4063-94B0-6E4B06AE3B0C}"/>
    <cellStyle name="Normal 2 4 2" xfId="38" xr:uid="{BAAD7454-08AE-4F8F-8E1E-B6A46EAB4AD2}"/>
    <cellStyle name="Normal 2 5" xfId="54" xr:uid="{652568B2-8BA3-4250-8055-C3B657546701}"/>
    <cellStyle name="Normal 2 6" xfId="8" xr:uid="{E602427D-0230-4B23-8C5F-C78A87C4ED1F}"/>
    <cellStyle name="Normal 3" xfId="6" xr:uid="{CA02B4B2-90E3-4AA4-A93C-456A7185157B}"/>
    <cellStyle name="Normal 3 2" xfId="25" xr:uid="{17BE30E6-E81E-4ACA-93A8-A8C45158C3A6}"/>
    <cellStyle name="Normal 3 3" xfId="35" xr:uid="{A084AB80-6437-42E8-BA24-328667C7179C}"/>
    <cellStyle name="Normal 4" xfId="23" xr:uid="{29CC8008-AA8F-4B0D-97FF-A7B7EE5D5647}"/>
    <cellStyle name="Normal 4 2" xfId="47" xr:uid="{7C3F1B78-FAB0-4419-84D5-5D67EF58CEE6}"/>
    <cellStyle name="Normal 4 3" xfId="56" xr:uid="{18C32913-0423-4973-B665-7BF0B340404E}"/>
    <cellStyle name="Normal 5" xfId="33" xr:uid="{8E6D3250-DCB4-459A-B056-F4E0F14DC0CC}"/>
    <cellStyle name="Normal 6" xfId="37" xr:uid="{59055E98-EBFD-439B-83C6-E16E3B352D6C}"/>
    <cellStyle name="Normal 6 2" xfId="30" xr:uid="{F1B14ED3-4C85-40EF-B97F-53C51643C0D4}"/>
    <cellStyle name="Normal 7" xfId="43" xr:uid="{9B0B44BC-BEFF-43F6-B55C-441A30C7EF08}"/>
    <cellStyle name="Normal 8" xfId="48" xr:uid="{8C8883E5-7143-46D8-957B-A1700BC18C6B}"/>
    <cellStyle name="Normal 9" xfId="27" xr:uid="{DB391960-00AC-4732-BB4A-126023A9F4EB}"/>
    <cellStyle name="Normal_Sheet3" xfId="13" xr:uid="{61D90E74-2A39-44D4-9F9D-E7D288D28DCB}"/>
    <cellStyle name="NormalBorderedCentered" xfId="18" xr:uid="{7FD1187C-6933-448B-B42B-257E03724743}"/>
    <cellStyle name="NormalBorderedCentered 2" xfId="42" xr:uid="{EC127946-F2D4-4172-8A2A-F925D6008F22}"/>
    <cellStyle name="NormalBorderedCenteredCommaRB" xfId="21" xr:uid="{77A7DBBB-7BDD-48D6-9F62-9C24B432B088}"/>
    <cellStyle name="NormalBorderedCenteredRB" xfId="19" xr:uid="{272A90A3-14F6-4309-ACC7-1DBB3AD1956B}"/>
    <cellStyle name="NormalLB" xfId="20" xr:uid="{5304F995-F3C5-4CEB-8E24-ED3DF1A4F3B0}"/>
    <cellStyle name="Output" xfId="53" builtinId="21"/>
    <cellStyle name="Percent" xfId="32" builtinId="5"/>
    <cellStyle name="Percent 2" xfId="14" xr:uid="{1847AD64-1A04-4AA2-8DCD-5A7CE8CD65AC}"/>
    <cellStyle name="Percent 3" xfId="40" xr:uid="{2F1F73AE-AFE7-4A4B-8818-D0E09A6DC960}"/>
    <cellStyle name="Percent 4" xfId="45" xr:uid="{DE897BB3-7FDA-4E53-A011-9EA4D82211C2}"/>
    <cellStyle name="Percent 5" xfId="50" xr:uid="{2038E8DC-147E-40DE-B572-0CC50DEB5F6E}"/>
    <cellStyle name="TableSubTitleTB" xfId="17" xr:uid="{C4208662-6AC6-427D-909D-B9C942763982}"/>
  </cellStyles>
  <dxfs count="43">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rgb="FFFF0000"/>
      </font>
    </dxf>
    <dxf>
      <font>
        <color theme="9" tint="-0.24994659260841701"/>
      </font>
    </dxf>
    <dxf>
      <font>
        <color rgb="FFFF0000"/>
      </font>
    </dxf>
    <dxf>
      <font>
        <color rgb="FF9C0006"/>
      </font>
      <fill>
        <patternFill>
          <bgColor rgb="FFFFC7CE"/>
        </patternFill>
      </fill>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0"/>
      </font>
      <fill>
        <patternFill>
          <bgColor rgb="FFFF0000"/>
        </patternFill>
      </fill>
    </dxf>
    <dxf>
      <font>
        <color rgb="FF9C0006"/>
      </font>
      <fill>
        <patternFill>
          <bgColor rgb="FFFFC7CE"/>
        </patternFill>
      </fill>
    </dxf>
  </dxfs>
  <tableStyles count="0" defaultTableStyle="TableStyleMedium2" defaultPivotStyle="PivotStyleLight16"/>
  <colors>
    <mruColors>
      <color rgb="FFFF99FF"/>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135255</xdr:colOff>
      <xdr:row>7</xdr:row>
      <xdr:rowOff>118111</xdr:rowOff>
    </xdr:from>
    <xdr:to>
      <xdr:col>11</xdr:col>
      <xdr:colOff>391163</xdr:colOff>
      <xdr:row>46</xdr:row>
      <xdr:rowOff>22860</xdr:rowOff>
    </xdr:to>
    <xdr:sp macro="" textlink="">
      <xdr:nvSpPr>
        <xdr:cNvPr id="2" name="Text Box 1">
          <a:extLst>
            <a:ext uri="{FF2B5EF4-FFF2-40B4-BE49-F238E27FC236}">
              <a16:creationId xmlns:a16="http://schemas.microsoft.com/office/drawing/2014/main" id="{00000000-0008-0000-3900-000002000000}"/>
            </a:ext>
          </a:extLst>
        </xdr:cNvPr>
        <xdr:cNvSpPr txBox="1">
          <a:spLocks noChangeArrowheads="1"/>
        </xdr:cNvSpPr>
      </xdr:nvSpPr>
      <xdr:spPr bwMode="auto">
        <a:xfrm>
          <a:off x="470535" y="1893571"/>
          <a:ext cx="6039488" cy="653414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nSpc>
              <a:spcPts val="1100"/>
            </a:lnSpc>
          </a:pPr>
          <a:r>
            <a:rPr lang="en-AU" sz="1000">
              <a:effectLst/>
              <a:latin typeface="Arial" panose="020B0604020202020204" pitchFamily="34" charset="0"/>
              <a:ea typeface="+mn-ea"/>
              <a:cs typeface="Arial" panose="020B0604020202020204" pitchFamily="34" charset="0"/>
            </a:rPr>
            <a:t>1.</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Estimated Rehabilitation cost calculator (the Calculator) is copyright and the Licensee may only use the Calculator subject to these terms and conditions of use. In using the Calculator, the Licensee agrees to be bound by the terms and conditions of use.</a:t>
          </a:r>
        </a:p>
        <a:p>
          <a:pPr>
            <a:lnSpc>
              <a:spcPts val="1100"/>
            </a:lnSpc>
          </a:pPr>
          <a:r>
            <a:rPr lang="en-AU" sz="1000">
              <a:effectLst/>
              <a:latin typeface="Arial" panose="020B0604020202020204" pitchFamily="34" charset="0"/>
              <a:ea typeface="+mn-ea"/>
              <a:cs typeface="Arial" panose="020B0604020202020204" pitchFamily="34" charset="0"/>
            </a:rPr>
            <a:t> </a:t>
          </a:r>
        </a:p>
        <a:p>
          <a:pPr>
            <a:lnSpc>
              <a:spcPts val="1100"/>
            </a:lnSpc>
          </a:pPr>
          <a:r>
            <a:rPr lang="en-AU" sz="1000">
              <a:effectLst/>
              <a:latin typeface="Arial" panose="020B0604020202020204" pitchFamily="34" charset="0"/>
              <a:ea typeface="+mn-ea"/>
              <a:cs typeface="Arial" panose="020B0604020202020204" pitchFamily="34" charset="0"/>
            </a:rPr>
            <a:t>2.</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Calculator is a general tool which identifies a range of work processes relating to rehabilitation. The  Calculator is made available by the Licensor to assist the Licensees in the calculation of a rehabilitation liability assessment. Rehabilitation liability assessments are used in the determination of rehabilitation bonds required to be lodged pursuant to the </a:t>
          </a:r>
          <a:r>
            <a:rPr lang="en-AU" sz="1000" i="1">
              <a:effectLst/>
              <a:latin typeface="Arial" panose="020B0604020202020204" pitchFamily="34" charset="0"/>
              <a:ea typeface="+mn-ea"/>
              <a:cs typeface="Arial" panose="020B0604020202020204" pitchFamily="34" charset="0"/>
            </a:rPr>
            <a:t>Environmental Protection Act </a:t>
          </a:r>
          <a:r>
            <a:rPr lang="en-AU" sz="1000">
              <a:effectLst/>
              <a:latin typeface="Arial" panose="020B0604020202020204" pitchFamily="34" charset="0"/>
              <a:ea typeface="+mn-ea"/>
              <a:cs typeface="Arial" panose="020B0604020202020204" pitchFamily="34" charset="0"/>
            </a:rPr>
            <a:t>1994 (Qld).  The Calculator does not purport to contain all the information which a Licensee will require to calculate any rehabilitation liability.</a:t>
          </a:r>
        </a:p>
        <a:p>
          <a:pPr>
            <a:lnSpc>
              <a:spcPts val="1100"/>
            </a:lnSpc>
          </a:pPr>
          <a:r>
            <a:rPr lang="en-AU" sz="1000">
              <a:effectLst/>
              <a:latin typeface="Arial" panose="020B0604020202020204" pitchFamily="34" charset="0"/>
              <a:ea typeface="+mn-ea"/>
              <a:cs typeface="Arial" panose="020B0604020202020204" pitchFamily="34" charset="0"/>
            </a:rPr>
            <a:t> </a:t>
          </a:r>
        </a:p>
        <a:p>
          <a:r>
            <a:rPr lang="en-AU" sz="1000" b="1" i="0">
              <a:effectLst/>
              <a:latin typeface="Arial" panose="020B0604020202020204" pitchFamily="34" charset="0"/>
              <a:ea typeface="+mn-ea"/>
              <a:cs typeface="Arial" panose="020B0604020202020204" pitchFamily="34" charset="0"/>
            </a:rPr>
            <a:t>General Licence</a:t>
          </a:r>
          <a:endParaRPr lang="en-AU" sz="1000" i="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3. The Licensor grants to the Licensee a non-exclusive, non-transferable licence to:</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	3.1 load a single copy of the Calculator</a:t>
          </a:r>
          <a:r>
            <a:rPr lang="en-AU" sz="1100">
              <a:effectLst/>
              <a:latin typeface="+mn-lt"/>
              <a:ea typeface="+mn-ea"/>
              <a:cs typeface="+mn-cs"/>
            </a:rPr>
            <a:t> </a:t>
          </a:r>
          <a:r>
            <a:rPr lang="en-AU" sz="1000">
              <a:effectLst/>
              <a:latin typeface="Arial" panose="020B0604020202020204" pitchFamily="34" charset="0"/>
              <a:ea typeface="+mn-ea"/>
              <a:cs typeface="Arial" panose="020B0604020202020204" pitchFamily="34" charset="0"/>
            </a:rPr>
            <a:t>onto a hard disk or other 	storage device of any computer on a single network;</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	3.2 display, print or reproduce that copy of the Calculator; and</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	3.3 solely for the Permitted Use:</a:t>
          </a:r>
        </a:p>
        <a:p>
          <a:r>
            <a:rPr lang="en-AU" sz="1000">
              <a:effectLst/>
              <a:latin typeface="Arial" panose="020B0604020202020204" pitchFamily="34" charset="0"/>
              <a:ea typeface="+mn-ea"/>
              <a:cs typeface="Arial" panose="020B0604020202020204" pitchFamily="34" charset="0"/>
            </a:rPr>
            <a:t> </a:t>
          </a:r>
        </a:p>
        <a:p>
          <a:pPr lvl="0"/>
          <a:r>
            <a:rPr lang="en-AU" sz="1000">
              <a:effectLst/>
              <a:latin typeface="Arial" panose="020B0604020202020204" pitchFamily="34" charset="0"/>
              <a:ea typeface="+mn-ea"/>
              <a:cs typeface="Arial" panose="020B0604020202020204" pitchFamily="34" charset="0"/>
            </a:rPr>
            <a:t>	(a)</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develop any Derivative Work from the Calculator;</a:t>
          </a:r>
        </a:p>
        <a:p>
          <a:pPr lvl="0"/>
          <a:r>
            <a:rPr lang="en-AU" sz="1000">
              <a:effectLst/>
              <a:latin typeface="Arial" panose="020B0604020202020204" pitchFamily="34" charset="0"/>
              <a:ea typeface="+mn-ea"/>
              <a:cs typeface="Arial" panose="020B0604020202020204" pitchFamily="34" charset="0"/>
            </a:rPr>
            <a:t>	</a:t>
          </a:r>
        </a:p>
        <a:p>
          <a:pPr lvl="0"/>
          <a:r>
            <a:rPr lang="en-AU" sz="1000">
              <a:effectLst/>
              <a:latin typeface="Arial" panose="020B0604020202020204" pitchFamily="34" charset="0"/>
              <a:ea typeface="+mn-ea"/>
              <a:cs typeface="Arial" panose="020B0604020202020204" pitchFamily="34" charset="0"/>
            </a:rPr>
            <a:t>	(b) distribute any Derivative Work to third parties; and</a:t>
          </a:r>
        </a:p>
        <a:p>
          <a:pPr lvl="0"/>
          <a:r>
            <a:rPr lang="en-AU" sz="1000">
              <a:effectLst/>
              <a:latin typeface="Arial" panose="020B0604020202020204" pitchFamily="34" charset="0"/>
              <a:ea typeface="+mn-ea"/>
              <a:cs typeface="Arial" panose="020B0604020202020204" pitchFamily="34" charset="0"/>
            </a:rPr>
            <a:t>	</a:t>
          </a:r>
        </a:p>
        <a:p>
          <a:pPr lvl="0"/>
          <a:r>
            <a:rPr lang="en-AU" sz="1000">
              <a:effectLst/>
              <a:latin typeface="Arial" panose="020B0604020202020204" pitchFamily="34" charset="0"/>
              <a:ea typeface="+mn-ea"/>
              <a:cs typeface="Arial" panose="020B0604020202020204" pitchFamily="34" charset="0"/>
            </a:rPr>
            <a:t>	(c) authorise its consultants, contractors or sub-contractors to do the acts referred to 	in this paragraph 3.3, and that its consultants, contractors or sub-contractors agree to 	the terms of this licence and are directed to the page on the Department’s website 	containing these terms and conditions.</a:t>
          </a:r>
        </a:p>
        <a:p>
          <a:r>
            <a:rPr lang="en-AU" sz="1000">
              <a:effectLst/>
              <a:latin typeface="Arial" panose="020B0604020202020204" pitchFamily="34" charset="0"/>
              <a:ea typeface="+mn-ea"/>
              <a:cs typeface="Arial" panose="020B0604020202020204" pitchFamily="34" charset="0"/>
            </a:rPr>
            <a:t> </a:t>
          </a:r>
        </a:p>
        <a:p>
          <a:r>
            <a:rPr lang="en-AU" sz="1000" b="1" i="0">
              <a:effectLst/>
              <a:latin typeface="Arial" panose="020B0604020202020204" pitchFamily="34" charset="0"/>
              <a:ea typeface="+mn-ea"/>
              <a:cs typeface="Arial" panose="020B0604020202020204" pitchFamily="34" charset="0"/>
            </a:rPr>
            <a:t>Derivative work</a:t>
          </a:r>
          <a:endParaRPr lang="en-AU" sz="1000" i="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4.</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Where the Licensee uses the Calculator to produce any Derivative Work, the Licensee must ensure that all copies of that Derivative Work include the following notice:</a:t>
          </a:r>
        </a:p>
        <a:p>
          <a:r>
            <a:rPr lang="en-AU" sz="1000">
              <a:effectLst/>
              <a:latin typeface="Arial" panose="020B0604020202020204" pitchFamily="34" charset="0"/>
              <a:ea typeface="+mn-ea"/>
              <a:cs typeface="Arial" panose="020B0604020202020204" pitchFamily="34" charset="0"/>
            </a:rPr>
            <a:t> </a:t>
          </a:r>
        </a:p>
        <a:p>
          <a:r>
            <a:rPr lang="en-AU" sz="1000" i="1">
              <a:effectLst/>
              <a:latin typeface="Arial" panose="020B0604020202020204" pitchFamily="34" charset="0"/>
              <a:ea typeface="+mn-ea"/>
              <a:cs typeface="Arial" panose="020B0604020202020204" pitchFamily="34" charset="0"/>
            </a:rPr>
            <a:t>This material has been derived with a software tool used with the permission of the State of Queensland. The State of Queensland</a:t>
          </a:r>
          <a:r>
            <a:rPr lang="en-AU" sz="1000" i="1" baseline="0">
              <a:effectLst/>
              <a:latin typeface="Arial" panose="020B0604020202020204" pitchFamily="34" charset="0"/>
              <a:ea typeface="+mn-ea"/>
              <a:cs typeface="Arial" panose="020B0604020202020204" pitchFamily="34" charset="0"/>
            </a:rPr>
            <a:t> has not </a:t>
          </a:r>
          <a:r>
            <a:rPr lang="en-AU" sz="1000" i="1">
              <a:effectLst/>
              <a:latin typeface="Arial" panose="020B0604020202020204" pitchFamily="34" charset="0"/>
              <a:ea typeface="+mn-ea"/>
              <a:cs typeface="Arial" panose="020B0604020202020204" pitchFamily="34" charset="0"/>
            </a:rPr>
            <a:t>evaluated the manner of use of the software tool nor the validity of the original data treated by the software tool and therefore give no warranty as to its accuracy, completeness, currency or suitability for any particular purpose. </a:t>
          </a:r>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xdr:txBody>
    </xdr:sp>
    <xdr:clientData/>
  </xdr:twoCellAnchor>
  <xdr:twoCellAnchor>
    <xdr:from>
      <xdr:col>16</xdr:col>
      <xdr:colOff>125730</xdr:colOff>
      <xdr:row>3</xdr:row>
      <xdr:rowOff>85725</xdr:rowOff>
    </xdr:from>
    <xdr:to>
      <xdr:col>25</xdr:col>
      <xdr:colOff>360999</xdr:colOff>
      <xdr:row>48</xdr:row>
      <xdr:rowOff>0</xdr:rowOff>
    </xdr:to>
    <xdr:sp macro="" textlink="">
      <xdr:nvSpPr>
        <xdr:cNvPr id="3" name="Text Box 2">
          <a:extLst>
            <a:ext uri="{FF2B5EF4-FFF2-40B4-BE49-F238E27FC236}">
              <a16:creationId xmlns:a16="http://schemas.microsoft.com/office/drawing/2014/main" id="{00000000-0008-0000-3900-000003000000}"/>
            </a:ext>
          </a:extLst>
        </xdr:cNvPr>
        <xdr:cNvSpPr txBox="1">
          <a:spLocks noChangeArrowheads="1"/>
        </xdr:cNvSpPr>
      </xdr:nvSpPr>
      <xdr:spPr bwMode="auto">
        <a:xfrm>
          <a:off x="7393305" y="1133475"/>
          <a:ext cx="5969319" cy="77152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nSpc>
              <a:spcPts val="1100"/>
            </a:lnSpc>
          </a:pPr>
          <a:r>
            <a:rPr lang="en-AU" sz="1000" b="1" i="0">
              <a:effectLst/>
              <a:latin typeface="Arial" panose="020B0604020202020204" pitchFamily="34" charset="0"/>
              <a:ea typeface="+mn-ea"/>
              <a:cs typeface="Arial" panose="020B0604020202020204" pitchFamily="34" charset="0"/>
            </a:rPr>
            <a:t>Third parties</a:t>
          </a:r>
          <a:endParaRPr lang="en-AU" sz="1000" i="0">
            <a:effectLst/>
            <a:latin typeface="Arial" panose="020B0604020202020204" pitchFamily="34" charset="0"/>
            <a:ea typeface="+mn-ea"/>
            <a:cs typeface="Arial" panose="020B0604020202020204" pitchFamily="34" charset="0"/>
          </a:endParaRPr>
        </a:p>
        <a:p>
          <a:pPr>
            <a:lnSpc>
              <a:spcPts val="1100"/>
            </a:lnSpc>
          </a:pPr>
          <a:r>
            <a:rPr lang="en-AU" sz="1000">
              <a:effectLst/>
              <a:latin typeface="Arial" panose="020B0604020202020204" pitchFamily="34" charset="0"/>
              <a:ea typeface="+mn-ea"/>
              <a:cs typeface="Arial" panose="020B0604020202020204" pitchFamily="34" charset="0"/>
            </a:rPr>
            <a:t> </a:t>
          </a:r>
        </a:p>
        <a:p>
          <a:pPr>
            <a:lnSpc>
              <a:spcPts val="1100"/>
            </a:lnSpc>
          </a:pPr>
          <a:r>
            <a:rPr lang="en-AU" sz="1000">
              <a:effectLst/>
              <a:latin typeface="Arial" panose="020B0604020202020204" pitchFamily="34" charset="0"/>
              <a:ea typeface="+mn-ea"/>
              <a:cs typeface="Arial" panose="020B0604020202020204" pitchFamily="34" charset="0"/>
            </a:rPr>
            <a:t>5.</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Except as permitted by the terms and conditions of use or the </a:t>
          </a:r>
          <a:r>
            <a:rPr lang="en-AU" sz="1000" i="1">
              <a:effectLst/>
              <a:latin typeface="Arial" panose="020B0604020202020204" pitchFamily="34" charset="0"/>
              <a:ea typeface="+mn-ea"/>
              <a:cs typeface="Arial" panose="020B0604020202020204" pitchFamily="34" charset="0"/>
            </a:rPr>
            <a:t>Copyright Act 1968</a:t>
          </a:r>
          <a:r>
            <a:rPr lang="en-AU" sz="1000">
              <a:effectLst/>
              <a:latin typeface="Arial" panose="020B0604020202020204" pitchFamily="34" charset="0"/>
              <a:ea typeface="+mn-ea"/>
              <a:cs typeface="Arial" panose="020B0604020202020204" pitchFamily="34" charset="0"/>
            </a:rPr>
            <a:t>, the Licensee must not, and must not permit a third party to:</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(a) decompile, disassemble, reverse engineer or otherwise attempt to derive the 	source code of the Calculator ;</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(b) modify or make any adaptation or other derivative work from the Calculator; or</a:t>
          </a:r>
        </a:p>
        <a:p>
          <a:pPr>
            <a:lnSpc>
              <a:spcPts val="1100"/>
            </a:lnSpc>
          </a:pPr>
          <a:r>
            <a:rPr lang="en-AU" sz="1000">
              <a:effectLst/>
              <a:latin typeface="Arial" panose="020B0604020202020204" pitchFamily="34" charset="0"/>
              <a:ea typeface="+mn-ea"/>
              <a:cs typeface="Arial" panose="020B0604020202020204" pitchFamily="34" charset="0"/>
            </a:rPr>
            <a:t> </a:t>
          </a:r>
        </a:p>
        <a:p>
          <a:pPr lvl="0"/>
          <a:r>
            <a:rPr lang="en-AU" sz="1000">
              <a:effectLst/>
              <a:latin typeface="Arial" panose="020B0604020202020204" pitchFamily="34" charset="0"/>
              <a:ea typeface="+mn-ea"/>
              <a:cs typeface="Arial" panose="020B0604020202020204" pitchFamily="34" charset="0"/>
            </a:rPr>
            <a:t>	(c) use, copy, reproduce, publish, store in a retrieval system or transmit the Calculator or any Derivative Work) to any third party; or</a:t>
          </a:r>
        </a:p>
        <a:p>
          <a:r>
            <a:rPr lang="en-AU" sz="1000">
              <a:effectLst/>
              <a:latin typeface="Arial" panose="020B0604020202020204" pitchFamily="34" charset="0"/>
              <a:ea typeface="+mn-ea"/>
              <a:cs typeface="Arial" panose="020B0604020202020204" pitchFamily="34" charset="0"/>
            </a:rPr>
            <a:t> </a:t>
          </a:r>
        </a:p>
        <a:p>
          <a:pPr lvl="0"/>
          <a:r>
            <a:rPr lang="en-AU" sz="1000">
              <a:effectLst/>
              <a:latin typeface="Arial" panose="020B0604020202020204" pitchFamily="34" charset="0"/>
              <a:ea typeface="+mn-ea"/>
              <a:cs typeface="Arial" panose="020B0604020202020204" pitchFamily="34" charset="0"/>
            </a:rPr>
            <a:t>	(d) sell, rent, lease, licence, sub-licence, display, publish or communicate the Calculator (or any Derivative Work) to any third party without the prior written consent of </a:t>
          </a:r>
          <a:r>
            <a:rPr lang="en-AU" sz="1000" i="1">
              <a:effectLst/>
              <a:latin typeface="Arial" panose="020B0604020202020204" pitchFamily="34" charset="0"/>
              <a:ea typeface="+mn-ea"/>
              <a:cs typeface="Arial" panose="020B0604020202020204" pitchFamily="34" charset="0"/>
            </a:rPr>
            <a:t>the State of Queensland</a:t>
          </a:r>
          <a:endParaRPr lang="en-AU" sz="100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b="1" i="0">
              <a:effectLst/>
              <a:latin typeface="Arial" panose="020B0604020202020204" pitchFamily="34" charset="0"/>
              <a:ea typeface="+mn-ea"/>
              <a:cs typeface="Arial" panose="020B0604020202020204" pitchFamily="34" charset="0"/>
            </a:rPr>
            <a:t>Accuracy of information</a:t>
          </a:r>
          <a:endParaRPr lang="en-AU" sz="1000" i="0">
            <a:effectLst/>
            <a:latin typeface="Arial" panose="020B0604020202020204" pitchFamily="34" charset="0"/>
            <a:ea typeface="+mn-ea"/>
            <a:cs typeface="Arial" panose="020B0604020202020204" pitchFamily="34" charset="0"/>
          </a:endParaRPr>
        </a:p>
        <a:p>
          <a:r>
            <a:rPr lang="en-AU" sz="1000" b="1" i="1">
              <a:effectLst/>
              <a:latin typeface="Arial" panose="020B0604020202020204" pitchFamily="34" charset="0"/>
              <a:ea typeface="+mn-ea"/>
              <a:cs typeface="Arial" panose="020B0604020202020204" pitchFamily="34" charset="0"/>
            </a:rPr>
            <a:t> </a:t>
          </a:r>
          <a:endParaRPr lang="en-AU" sz="100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6.</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Department may revise the rates and formulae used in the Calculator at any time without notice but is not under any obligation to do so. </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7.</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Licensee should rely on their own independent investigations, review and analysis in using the Calculator.  </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8.</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output of the Calculator will depend on the accuracy of the information entered by the Licensee concerning the relevant work plan and rehabilitation plan and current and future site conditions.</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9.</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default third party rates included in the Calculator are for general information only and use typical market ‘third party’ contract rates current as at October 2018. As a result, the default third party rates may not be applicable to some mining or extractive operations. For the purposes of a rehabilitation liability assessment, the Department or an auditor appointed under the </a:t>
          </a:r>
          <a:r>
            <a:rPr lang="en-AU" sz="1000" i="1">
              <a:effectLst/>
              <a:latin typeface="Arial" panose="020B0604020202020204" pitchFamily="34" charset="0"/>
              <a:ea typeface="+mn-ea"/>
              <a:cs typeface="Arial" panose="020B0604020202020204" pitchFamily="34" charset="0"/>
            </a:rPr>
            <a:t>Environmental Protection Act 1994</a:t>
          </a:r>
          <a:r>
            <a:rPr lang="en-AU" sz="1000">
              <a:effectLst/>
              <a:latin typeface="Arial" panose="020B0604020202020204" pitchFamily="34" charset="0"/>
              <a:ea typeface="+mn-ea"/>
              <a:cs typeface="Arial" panose="020B0604020202020204" pitchFamily="34" charset="0"/>
            </a:rPr>
            <a:t> may set different rates for specific sites. These rates may be higher for specific sites.</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10.</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Licensee must review default rates included in the Calculator and ensure they are applicable to their site conditions. If not, they should specify an alternative rate and insert this rate into the Calculator. Any alternative rate must be substantiated in a form acceptable to the Department and must be determined using current market ‘third party’ contract rates.  </a:t>
          </a:r>
        </a:p>
        <a:p>
          <a:r>
            <a:rPr lang="en-AU" sz="1000" b="1" i="1">
              <a:effectLst/>
              <a:latin typeface="Arial" panose="020B0604020202020204" pitchFamily="34" charset="0"/>
              <a:ea typeface="+mn-ea"/>
              <a:cs typeface="Arial" panose="020B0604020202020204" pitchFamily="34" charset="0"/>
            </a:rPr>
            <a:t> </a:t>
          </a:r>
          <a:endParaRPr lang="en-AU" sz="1000">
            <a:effectLst/>
            <a:latin typeface="Arial" panose="020B0604020202020204" pitchFamily="34" charset="0"/>
            <a:ea typeface="+mn-ea"/>
            <a:cs typeface="Arial" panose="020B0604020202020204" pitchFamily="34" charset="0"/>
          </a:endParaRPr>
        </a:p>
        <a:p>
          <a:r>
            <a:rPr lang="en-AU" sz="1000" b="1" i="0">
              <a:effectLst/>
              <a:latin typeface="Arial" panose="020B0604020202020204" pitchFamily="34" charset="0"/>
              <a:ea typeface="+mn-ea"/>
              <a:cs typeface="Arial" panose="020B0604020202020204" pitchFamily="34" charset="0"/>
            </a:rPr>
            <a:t>Review of rehabilitation bonds</a:t>
          </a:r>
          <a:endParaRPr lang="en-AU" sz="1000" i="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11.</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Rehabilitation bonds are determined and may be reviewed by the Chief Executive under the relevant legislation. In undertaking these responsibilities the Chief Executive or the Department may refer to any rehabilitation liability assessment undertaken by the Licensee but is not bound to do so, and may take other matters into account including those specified in DES </a:t>
          </a:r>
          <a:r>
            <a:rPr lang="en-AU" sz="1000" i="1">
              <a:effectLst/>
              <a:latin typeface="Arial" panose="020B0604020202020204" pitchFamily="34" charset="0"/>
              <a:ea typeface="+mn-ea"/>
              <a:cs typeface="Arial" panose="020B0604020202020204" pitchFamily="34" charset="0"/>
            </a:rPr>
            <a:t>Guidelines </a:t>
          </a:r>
          <a:r>
            <a:rPr lang="en-AU" sz="1000">
              <a:effectLst/>
              <a:latin typeface="Arial" panose="020B0604020202020204" pitchFamily="34" charset="0"/>
              <a:ea typeface="+mn-ea"/>
              <a:cs typeface="Arial" panose="020B0604020202020204" pitchFamily="34" charset="0"/>
            </a:rPr>
            <a:t>from time to time.</a:t>
          </a:r>
          <a:r>
            <a:rPr lang="en-AU" sz="1000" i="1">
              <a:effectLst/>
              <a:latin typeface="Arial" panose="020B0604020202020204" pitchFamily="34" charset="0"/>
              <a:ea typeface="+mn-ea"/>
              <a:cs typeface="Arial" panose="020B0604020202020204" pitchFamily="34" charset="0"/>
            </a:rPr>
            <a:t> </a:t>
          </a:r>
        </a:p>
        <a:p>
          <a:endParaRPr lang="en-AU" sz="1000" i="1">
            <a:effectLst/>
            <a:latin typeface="Arial" panose="020B0604020202020204" pitchFamily="34" charset="0"/>
            <a:ea typeface="+mn-ea"/>
            <a:cs typeface="Arial" panose="020B0604020202020204" pitchFamily="34" charset="0"/>
          </a:endParaRPr>
        </a:p>
      </xdr:txBody>
    </xdr:sp>
    <xdr:clientData/>
  </xdr:twoCellAnchor>
  <xdr:twoCellAnchor>
    <xdr:from>
      <xdr:col>30</xdr:col>
      <xdr:colOff>71438</xdr:colOff>
      <xdr:row>3</xdr:row>
      <xdr:rowOff>104775</xdr:rowOff>
    </xdr:from>
    <xdr:to>
      <xdr:col>39</xdr:col>
      <xdr:colOff>326711</xdr:colOff>
      <xdr:row>47</xdr:row>
      <xdr:rowOff>119063</xdr:rowOff>
    </xdr:to>
    <xdr:sp macro="" textlink="">
      <xdr:nvSpPr>
        <xdr:cNvPr id="4" name="Text Box 3">
          <a:extLst>
            <a:ext uri="{FF2B5EF4-FFF2-40B4-BE49-F238E27FC236}">
              <a16:creationId xmlns:a16="http://schemas.microsoft.com/office/drawing/2014/main" id="{00000000-0008-0000-3900-000004000000}"/>
            </a:ext>
          </a:extLst>
        </xdr:cNvPr>
        <xdr:cNvSpPr txBox="1">
          <a:spLocks noChangeArrowheads="1"/>
        </xdr:cNvSpPr>
      </xdr:nvSpPr>
      <xdr:spPr bwMode="auto">
        <a:xfrm>
          <a:off x="14835188" y="1147763"/>
          <a:ext cx="6127436" cy="72485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nSpc>
              <a:spcPts val="900"/>
            </a:lnSpc>
          </a:pPr>
          <a:r>
            <a:rPr lang="en-AU" sz="1000" b="1" i="0">
              <a:effectLst/>
              <a:latin typeface="Arial" panose="020B0604020202020204" pitchFamily="34" charset="0"/>
              <a:ea typeface="+mn-ea"/>
              <a:cs typeface="Arial" panose="020B0604020202020204" pitchFamily="34" charset="0"/>
            </a:rPr>
            <a:t>Actual costs of rehabilitation</a:t>
          </a:r>
          <a:endParaRPr lang="en-AU" sz="1000" i="0">
            <a:effectLst/>
            <a:latin typeface="Arial" panose="020B0604020202020204" pitchFamily="34" charset="0"/>
            <a:ea typeface="+mn-ea"/>
            <a:cs typeface="Arial" panose="020B0604020202020204" pitchFamily="34" charset="0"/>
          </a:endParaRPr>
        </a:p>
        <a:p>
          <a:pPr>
            <a:lnSpc>
              <a:spcPts val="1000"/>
            </a:lnSpc>
          </a:pPr>
          <a:r>
            <a:rPr lang="en-AU" sz="1000">
              <a:effectLst/>
              <a:latin typeface="Arial" panose="020B0604020202020204" pitchFamily="34" charset="0"/>
              <a:ea typeface="+mn-ea"/>
              <a:cs typeface="Arial" panose="020B0604020202020204" pitchFamily="34" charset="0"/>
            </a:rPr>
            <a:t> </a:t>
          </a:r>
        </a:p>
        <a:p>
          <a:pPr>
            <a:lnSpc>
              <a:spcPts val="900"/>
            </a:lnSpc>
          </a:pPr>
          <a:r>
            <a:rPr lang="en-AU" sz="1000">
              <a:effectLst/>
              <a:latin typeface="Arial" panose="020B0604020202020204" pitchFamily="34" charset="0"/>
              <a:ea typeface="+mn-ea"/>
              <a:cs typeface="Arial" panose="020B0604020202020204" pitchFamily="34" charset="0"/>
            </a:rPr>
            <a:t>12.</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actual costs of current and future rehabilitation required to be undertaken by a Licensee may be more or less than any calculation derived by use of the Calculator or the amount of any rehabilitation bond determined by the Chief Executive or the Department. The Licensee must make their own independent investigations, review and analysis and obtain independent advice before taking any action on the basis of any calculation derived by use of the Calculator.</a:t>
          </a:r>
        </a:p>
        <a:p>
          <a:pPr>
            <a:lnSpc>
              <a:spcPts val="1000"/>
            </a:lnSpc>
          </a:pPr>
          <a:r>
            <a:rPr lang="en-AU" sz="1000">
              <a:effectLst/>
              <a:latin typeface="Arial" panose="020B0604020202020204" pitchFamily="34" charset="0"/>
              <a:ea typeface="+mn-ea"/>
              <a:cs typeface="Arial" panose="020B0604020202020204" pitchFamily="34" charset="0"/>
            </a:rPr>
            <a:t> </a:t>
          </a:r>
        </a:p>
        <a:p>
          <a:pPr>
            <a:lnSpc>
              <a:spcPts val="1000"/>
            </a:lnSpc>
          </a:pPr>
          <a:r>
            <a:rPr lang="en-AU" sz="1000" b="1" i="0">
              <a:effectLst/>
              <a:latin typeface="Arial" panose="020B0604020202020204" pitchFamily="34" charset="0"/>
              <a:ea typeface="+mn-ea"/>
              <a:cs typeface="Arial" panose="020B0604020202020204" pitchFamily="34" charset="0"/>
            </a:rPr>
            <a:t>Warranties, representations and liability</a:t>
          </a:r>
          <a:endParaRPr lang="en-AU" sz="1000" i="0">
            <a:effectLst/>
            <a:latin typeface="Arial" panose="020B0604020202020204" pitchFamily="34" charset="0"/>
            <a:ea typeface="+mn-ea"/>
            <a:cs typeface="Arial" panose="020B0604020202020204" pitchFamily="34" charset="0"/>
          </a:endParaRPr>
        </a:p>
        <a:p>
          <a:pPr>
            <a:lnSpc>
              <a:spcPts val="1100"/>
            </a:lnSpc>
          </a:pPr>
          <a:r>
            <a:rPr lang="en-AU" sz="1000">
              <a:effectLst/>
              <a:latin typeface="Arial" panose="020B0604020202020204" pitchFamily="34" charset="0"/>
              <a:ea typeface="+mn-ea"/>
              <a:cs typeface="Arial" panose="020B0604020202020204" pitchFamily="34" charset="0"/>
            </a:rPr>
            <a:t> </a:t>
          </a:r>
        </a:p>
        <a:p>
          <a:pPr>
            <a:lnSpc>
              <a:spcPts val="1000"/>
            </a:lnSpc>
          </a:pPr>
          <a:r>
            <a:rPr lang="en-AU" sz="1000">
              <a:effectLst/>
              <a:latin typeface="Arial" panose="020B0604020202020204" pitchFamily="34" charset="0"/>
              <a:ea typeface="+mn-ea"/>
              <a:cs typeface="Arial" panose="020B0604020202020204" pitchFamily="34" charset="0"/>
            </a:rPr>
            <a:t>13.</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Licensors do not warrant or represent that the Calculator or the information it contains is free from errors or omissions or is suitable for a Licensee’s intended use. To the maximum extent permitted by law, the Licensors:</a:t>
          </a:r>
        </a:p>
        <a:p>
          <a:pPr>
            <a:lnSpc>
              <a:spcPts val="1100"/>
            </a:lnSpc>
          </a:pPr>
          <a:r>
            <a:rPr lang="en-AU" sz="1000">
              <a:effectLst/>
              <a:latin typeface="Arial" panose="020B0604020202020204" pitchFamily="34" charset="0"/>
              <a:ea typeface="+mn-ea"/>
              <a:cs typeface="Arial" panose="020B0604020202020204" pitchFamily="34" charset="0"/>
            </a:rPr>
            <a:t> </a:t>
          </a:r>
        </a:p>
        <a:p>
          <a:pPr>
            <a:lnSpc>
              <a:spcPts val="1100"/>
            </a:lnSpc>
          </a:pPr>
          <a:r>
            <a:rPr lang="en-AU" sz="1000">
              <a:effectLst/>
              <a:latin typeface="Arial" panose="020B0604020202020204" pitchFamily="34" charset="0"/>
              <a:ea typeface="+mn-ea"/>
              <a:cs typeface="Arial" panose="020B0604020202020204" pitchFamily="34" charset="0"/>
            </a:rPr>
            <a:t>	13.1</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exclude any representation or warranty (express or implied) as to the accuracy, 	reliability, completeness, quality, performance or fitness for any purpose of the Calculator or any information it contains, or any calculation derived by use of the rehabilitation liability calculator; and</a:t>
          </a:r>
        </a:p>
        <a:p>
          <a:pPr>
            <a:lnSpc>
              <a:spcPts val="1000"/>
            </a:lnSpc>
          </a:pPr>
          <a:r>
            <a:rPr lang="en-AU" sz="1000">
              <a:effectLst/>
              <a:latin typeface="Arial" panose="020B0604020202020204" pitchFamily="34" charset="0"/>
              <a:ea typeface="+mn-ea"/>
              <a:cs typeface="Arial" panose="020B0604020202020204" pitchFamily="34" charset="0"/>
            </a:rPr>
            <a:t> </a:t>
          </a:r>
        </a:p>
        <a:p>
          <a:pPr>
            <a:lnSpc>
              <a:spcPts val="1000"/>
            </a:lnSpc>
          </a:pPr>
          <a:r>
            <a:rPr lang="en-AU" sz="1000">
              <a:effectLst/>
              <a:latin typeface="Arial" panose="020B0604020202020204" pitchFamily="34" charset="0"/>
              <a:ea typeface="+mn-ea"/>
              <a:cs typeface="Arial" panose="020B0604020202020204" pitchFamily="34" charset="0"/>
            </a:rPr>
            <a:t>	13.2</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exclude any liability (whether arising from negligence or otherwise) for any claims, expenses, losses, damages and costs, including direct, indirect or consequential loss, legal costs and including loss of revenue, contracts, profit or opportunity which the Licensee (including their respective employees, contractors, consultants, agents or assigns) may directly or indirectly suffer in connection with:</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(a) the Licensee’s use of or access to (or inability to use or access) any part of the 	Calculator, or any information contained in the Calculator or any calculation derived by use of the Calculator;</a:t>
          </a:r>
        </a:p>
        <a:p>
          <a:pPr>
            <a:lnSpc>
              <a:spcPts val="1000"/>
            </a:lnSpc>
          </a:pPr>
          <a:r>
            <a:rPr lang="en-AU" sz="1000">
              <a:effectLst/>
              <a:latin typeface="Arial" panose="020B0604020202020204" pitchFamily="34" charset="0"/>
              <a:ea typeface="+mn-ea"/>
              <a:cs typeface="Arial" panose="020B0604020202020204" pitchFamily="34" charset="0"/>
            </a:rPr>
            <a:t> </a:t>
          </a:r>
        </a:p>
        <a:p>
          <a:pPr lvl="0">
            <a:lnSpc>
              <a:spcPts val="1000"/>
            </a:lnSpc>
          </a:pPr>
          <a:r>
            <a:rPr lang="en-AU" sz="1000">
              <a:effectLst/>
              <a:latin typeface="Arial" panose="020B0604020202020204" pitchFamily="34" charset="0"/>
              <a:ea typeface="+mn-ea"/>
              <a:cs typeface="Arial" panose="020B0604020202020204" pitchFamily="34" charset="0"/>
            </a:rPr>
            <a:t>	(b) the Licensee’s reliance on any part of the Calculator, any information contained in the calculator or any calculation derived by use of the</a:t>
          </a:r>
          <a:r>
            <a:rPr lang="en-AU" sz="1000" baseline="0">
              <a:effectLst/>
              <a:latin typeface="Arial" panose="020B0604020202020204" pitchFamily="34" charset="0"/>
              <a:ea typeface="+mn-ea"/>
              <a:cs typeface="Arial" panose="020B0604020202020204" pitchFamily="34" charset="0"/>
            </a:rPr>
            <a:t> C</a:t>
          </a:r>
          <a:r>
            <a:rPr lang="en-AU" sz="1000">
              <a:effectLst/>
              <a:latin typeface="Arial" panose="020B0604020202020204" pitchFamily="34" charset="0"/>
              <a:ea typeface="+mn-ea"/>
              <a:cs typeface="Arial" panose="020B0604020202020204" pitchFamily="34" charset="0"/>
            </a:rPr>
            <a:t>alculator;</a:t>
          </a:r>
        </a:p>
        <a:p>
          <a:pPr>
            <a:lnSpc>
              <a:spcPts val="900"/>
            </a:lnSpc>
          </a:pPr>
          <a:r>
            <a:rPr lang="en-AU" sz="1000">
              <a:effectLst/>
              <a:latin typeface="Arial" panose="020B0604020202020204" pitchFamily="34" charset="0"/>
              <a:ea typeface="+mn-ea"/>
              <a:cs typeface="Arial" panose="020B0604020202020204" pitchFamily="34" charset="0"/>
            </a:rPr>
            <a:t>Calculator or any calculation derived from the Calculator:</a:t>
          </a:r>
        </a:p>
        <a:p>
          <a:pPr>
            <a:lnSpc>
              <a:spcPts val="900"/>
            </a:lnSpc>
          </a:pPr>
          <a:r>
            <a:rPr lang="en-AU" sz="1000">
              <a:effectLst/>
              <a:latin typeface="Arial" panose="020B0604020202020204" pitchFamily="34" charset="0"/>
              <a:ea typeface="+mn-ea"/>
              <a:cs typeface="Arial" panose="020B0604020202020204" pitchFamily="34" charset="0"/>
            </a:rPr>
            <a:t> </a:t>
          </a:r>
        </a:p>
        <a:p>
          <a:pPr lvl="1">
            <a:lnSpc>
              <a:spcPts val="900"/>
            </a:lnSpc>
          </a:pPr>
          <a:r>
            <a:rPr lang="en-AU" sz="1000">
              <a:effectLst/>
              <a:latin typeface="Arial" panose="020B0604020202020204" pitchFamily="34" charset="0"/>
              <a:ea typeface="+mn-ea"/>
              <a:cs typeface="Arial" panose="020B0604020202020204" pitchFamily="34" charset="0"/>
            </a:rPr>
            <a:t>		(i) being inaccurate, incomplete or unfit for any particular purpose; 		or</a:t>
          </a:r>
        </a:p>
        <a:p>
          <a:pPr lvl="1">
            <a:lnSpc>
              <a:spcPts val="900"/>
            </a:lnSpc>
          </a:pPr>
          <a:r>
            <a:rPr lang="en-AU" sz="1000">
              <a:effectLst/>
              <a:latin typeface="Arial" panose="020B0604020202020204" pitchFamily="34" charset="0"/>
              <a:ea typeface="+mn-ea"/>
              <a:cs typeface="Arial" panose="020B0604020202020204" pitchFamily="34" charset="0"/>
            </a:rPr>
            <a:t>		(ii) incapable of being processed on your equipment or systems; or</a:t>
          </a:r>
        </a:p>
        <a:p>
          <a:pPr>
            <a:lnSpc>
              <a:spcPts val="1000"/>
            </a:lnSpc>
          </a:pPr>
          <a:r>
            <a:rPr lang="en-AU" sz="1000">
              <a:effectLst/>
              <a:latin typeface="Arial" panose="020B0604020202020204" pitchFamily="34" charset="0"/>
              <a:ea typeface="+mn-ea"/>
              <a:cs typeface="Arial" panose="020B0604020202020204" pitchFamily="34" charset="0"/>
            </a:rPr>
            <a:t> </a:t>
          </a:r>
        </a:p>
        <a:p>
          <a:pPr lvl="0">
            <a:lnSpc>
              <a:spcPts val="1000"/>
            </a:lnSpc>
          </a:pPr>
          <a:r>
            <a:rPr lang="en-AU" sz="1000">
              <a:effectLst/>
              <a:latin typeface="Arial" panose="020B0604020202020204" pitchFamily="34" charset="0"/>
              <a:ea typeface="+mn-ea"/>
              <a:cs typeface="Arial" panose="020B0604020202020204" pitchFamily="34" charset="0"/>
            </a:rPr>
            <a:t>	(d) any computer virus or other harmful code contained in or arising from access to 	or use of the rehabilitation liability calculator, or any damage to or interference with 	any data, software or hardware arising from access to or use of the Calculator.</a:t>
          </a:r>
        </a:p>
        <a:p>
          <a:pPr lvl="0">
            <a:lnSpc>
              <a:spcPts val="8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8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ts val="900"/>
            </a:lnSpc>
            <a:spcBef>
              <a:spcPts val="0"/>
            </a:spcBef>
            <a:spcAft>
              <a:spcPts val="0"/>
            </a:spcAft>
            <a:buClrTx/>
            <a:buSzTx/>
            <a:buFontTx/>
            <a:buNone/>
            <a:tabLst/>
            <a:defRPr/>
          </a:pPr>
          <a:endParaRPr lang="en-AU" sz="1100" b="1" i="0">
            <a:effectLst/>
            <a:latin typeface="+mn-lt"/>
            <a:ea typeface="+mn-ea"/>
            <a:cs typeface="+mn-cs"/>
          </a:endParaRPr>
        </a:p>
        <a:p>
          <a:pPr marL="0" marR="0" lvl="0" indent="0" algn="ctr" defTabSz="914400" eaLnBrk="1" fontAlgn="auto" latinLnBrk="0" hangingPunct="1">
            <a:lnSpc>
              <a:spcPts val="900"/>
            </a:lnSpc>
            <a:spcBef>
              <a:spcPts val="0"/>
            </a:spcBef>
            <a:spcAft>
              <a:spcPts val="0"/>
            </a:spcAft>
            <a:buClrTx/>
            <a:buSzTx/>
            <a:buFontTx/>
            <a:buNone/>
            <a:tabLst/>
            <a:defRPr/>
          </a:pPr>
          <a:endParaRPr lang="en-AU" sz="1100" b="1" i="0">
            <a:effectLst/>
            <a:latin typeface="+mn-lt"/>
            <a:ea typeface="+mn-ea"/>
            <a:cs typeface="+mn-cs"/>
          </a:endParaRPr>
        </a:p>
        <a:p>
          <a:pPr marL="0" marR="0" lvl="0" indent="0" algn="ctr" defTabSz="914400" eaLnBrk="1" fontAlgn="auto" latinLnBrk="0" hangingPunct="1">
            <a:lnSpc>
              <a:spcPts val="800"/>
            </a:lnSpc>
            <a:spcBef>
              <a:spcPts val="0"/>
            </a:spcBef>
            <a:spcAft>
              <a:spcPts val="0"/>
            </a:spcAft>
            <a:buClrTx/>
            <a:buSzTx/>
            <a:buFontTx/>
            <a:buNone/>
            <a:tabLst/>
            <a:defRPr/>
          </a:pPr>
          <a:endParaRPr lang="en-AU" sz="1100" b="1" i="0">
            <a:effectLst/>
            <a:latin typeface="+mn-lt"/>
            <a:ea typeface="+mn-ea"/>
            <a:cs typeface="+mn-cs"/>
          </a:endParaRPr>
        </a:p>
        <a:p>
          <a:pPr marL="0" marR="0" lvl="0" indent="0" algn="ctr" defTabSz="914400" eaLnBrk="1" fontAlgn="auto" latinLnBrk="0" hangingPunct="1">
            <a:lnSpc>
              <a:spcPts val="800"/>
            </a:lnSpc>
            <a:spcBef>
              <a:spcPts val="0"/>
            </a:spcBef>
            <a:spcAft>
              <a:spcPts val="0"/>
            </a:spcAft>
            <a:buClrTx/>
            <a:buSzTx/>
            <a:buFontTx/>
            <a:buNone/>
            <a:tabLst/>
            <a:defRPr/>
          </a:pPr>
          <a:endParaRPr lang="en-AU" sz="1100" b="1" i="0">
            <a:effectLst/>
            <a:latin typeface="+mn-lt"/>
            <a:ea typeface="+mn-ea"/>
            <a:cs typeface="+mn-cs"/>
          </a:endParaRPr>
        </a:p>
        <a:p>
          <a:pPr marL="0" marR="0" lvl="0" indent="0" algn="ctr" defTabSz="914400" eaLnBrk="1" fontAlgn="auto" latinLnBrk="0" hangingPunct="1">
            <a:lnSpc>
              <a:spcPts val="800"/>
            </a:lnSpc>
            <a:spcBef>
              <a:spcPts val="0"/>
            </a:spcBef>
            <a:spcAft>
              <a:spcPts val="0"/>
            </a:spcAft>
            <a:buClrTx/>
            <a:buSzTx/>
            <a:buFontTx/>
            <a:buNone/>
            <a:tabLst/>
            <a:defRPr/>
          </a:pPr>
          <a:endParaRPr lang="en-AU" sz="1100" b="1" i="0">
            <a:effectLst/>
            <a:latin typeface="+mn-lt"/>
            <a:ea typeface="+mn-ea"/>
            <a:cs typeface="+mn-cs"/>
          </a:endParaRPr>
        </a:p>
        <a:p>
          <a:pPr marL="0" marR="0" lvl="0" indent="0" algn="ctr" defTabSz="914400" eaLnBrk="1" fontAlgn="auto" latinLnBrk="0" hangingPunct="1">
            <a:lnSpc>
              <a:spcPts val="800"/>
            </a:lnSpc>
            <a:spcBef>
              <a:spcPts val="0"/>
            </a:spcBef>
            <a:spcAft>
              <a:spcPts val="0"/>
            </a:spcAft>
            <a:buClrTx/>
            <a:buSzTx/>
            <a:buFontTx/>
            <a:buNone/>
            <a:tabLst/>
            <a:defRPr/>
          </a:pPr>
          <a:endParaRPr lang="en-AU" sz="1100" b="1" i="0">
            <a:effectLst/>
            <a:latin typeface="+mn-lt"/>
            <a:ea typeface="+mn-ea"/>
            <a:cs typeface="+mn-cs"/>
          </a:endParaRPr>
        </a:p>
        <a:p>
          <a:pPr>
            <a:lnSpc>
              <a:spcPts val="1000"/>
            </a:lnSpc>
          </a:pPr>
          <a:r>
            <a:rPr lang="en-AU" sz="1000">
              <a:effectLst/>
              <a:latin typeface="Arial" panose="020B0604020202020204" pitchFamily="34" charset="0"/>
              <a:ea typeface="+mn-ea"/>
              <a:cs typeface="Arial" panose="020B0604020202020204" pitchFamily="34" charset="0"/>
            </a:rPr>
            <a:t> </a:t>
          </a:r>
        </a:p>
        <a:p>
          <a:pPr>
            <a:lnSpc>
              <a:spcPts val="1000"/>
            </a:lnSpc>
          </a:pPr>
          <a:endParaRPr lang="en-AU" sz="1000">
            <a:effectLst/>
            <a:latin typeface="Arial" panose="020B0604020202020204" pitchFamily="34" charset="0"/>
            <a:ea typeface="+mn-ea"/>
            <a:cs typeface="Arial" panose="020B0604020202020204" pitchFamily="34" charset="0"/>
          </a:endParaRPr>
        </a:p>
        <a:p>
          <a:pPr algn="l" rtl="0">
            <a:lnSpc>
              <a:spcPts val="1100"/>
            </a:lnSpc>
            <a:defRPr sz="1000"/>
          </a:pPr>
          <a:endParaRPr lang="en-AU" sz="1000">
            <a:latin typeface="Arial" pitchFamily="34" charset="0"/>
            <a:cs typeface="Arial" pitchFamily="34" charset="0"/>
          </a:endParaRPr>
        </a:p>
      </xdr:txBody>
    </xdr:sp>
    <xdr:clientData/>
  </xdr:twoCellAnchor>
  <xdr:twoCellAnchor>
    <xdr:from>
      <xdr:col>44</xdr:col>
      <xdr:colOff>69533</xdr:colOff>
      <xdr:row>3</xdr:row>
      <xdr:rowOff>102871</xdr:rowOff>
    </xdr:from>
    <xdr:to>
      <xdr:col>53</xdr:col>
      <xdr:colOff>443868</xdr:colOff>
      <xdr:row>46</xdr:row>
      <xdr:rowOff>58104</xdr:rowOff>
    </xdr:to>
    <xdr:sp macro="" textlink="">
      <xdr:nvSpPr>
        <xdr:cNvPr id="5" name="Text Box 4">
          <a:extLst>
            <a:ext uri="{FF2B5EF4-FFF2-40B4-BE49-F238E27FC236}">
              <a16:creationId xmlns:a16="http://schemas.microsoft.com/office/drawing/2014/main" id="{00000000-0008-0000-3900-000005000000}"/>
            </a:ext>
          </a:extLst>
        </xdr:cNvPr>
        <xdr:cNvSpPr txBox="1">
          <a:spLocks noChangeArrowheads="1"/>
        </xdr:cNvSpPr>
      </xdr:nvSpPr>
      <xdr:spPr bwMode="auto">
        <a:xfrm>
          <a:off x="21348383" y="1150621"/>
          <a:ext cx="6079810" cy="7413308"/>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nSpc>
              <a:spcPts val="1100"/>
            </a:lnSpc>
          </a:pPr>
          <a:r>
            <a:rPr lang="en-AU" sz="1000">
              <a:effectLst/>
              <a:latin typeface="Arial" panose="020B0604020202020204" pitchFamily="34" charset="0"/>
              <a:ea typeface="+mn-ea"/>
              <a:cs typeface="Arial" panose="020B0604020202020204" pitchFamily="34" charset="0"/>
            </a:rPr>
            <a:t>14.</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Where any law implies a condition or warranty into this Licence which may not lawfully be excluded then to the maximum extent permitted by law, liability of the Licensors for breach of the condition or warranty will be limited at its election to:</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(a) replacement of the goods or supply of equivalent goods</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(b) payment of the costs of replacing the goods or of acquiring equivalent goods</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(c) supplying the services again; or</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(d) payment of the costs of having the services supplied again.</a:t>
          </a:r>
        </a:p>
        <a:p>
          <a:pPr>
            <a:lnSpc>
              <a:spcPts val="1100"/>
            </a:lnSpc>
          </a:pPr>
          <a:endParaRPr lang="en-AU" sz="1000" b="1">
            <a:effectLst/>
            <a:latin typeface="Arial" pitchFamily="34" charset="0"/>
            <a:ea typeface="+mn-ea"/>
            <a:cs typeface="Arial" pitchFamily="34" charset="0"/>
          </a:endParaRPr>
        </a:p>
        <a:p>
          <a:pPr>
            <a:lnSpc>
              <a:spcPts val="1100"/>
            </a:lnSpc>
          </a:pPr>
          <a:endParaRPr lang="en-AU" sz="1000" b="1">
            <a:effectLst/>
            <a:latin typeface="Arial" pitchFamily="34" charset="0"/>
            <a:ea typeface="+mn-ea"/>
            <a:cs typeface="Arial" pitchFamily="34" charset="0"/>
          </a:endParaRPr>
        </a:p>
        <a:p>
          <a:pPr>
            <a:lnSpc>
              <a:spcPts val="1100"/>
            </a:lnSpc>
          </a:pPr>
          <a:r>
            <a:rPr lang="en-AU" sz="1000" b="1" i="0">
              <a:effectLst/>
              <a:latin typeface="Arial" panose="020B0604020202020204" pitchFamily="34" charset="0"/>
              <a:ea typeface="+mn-ea"/>
              <a:cs typeface="Arial" panose="020B0604020202020204" pitchFamily="34" charset="0"/>
            </a:rPr>
            <a:t>Definitions and Governing Law </a:t>
          </a:r>
          <a:endParaRPr lang="en-AU" sz="1000" i="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15.</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These terms have the following meaning in these terms and conditions of use:</a:t>
          </a:r>
        </a:p>
        <a:p>
          <a:r>
            <a:rPr lang="en-AU" sz="1000" b="1">
              <a:effectLst/>
              <a:latin typeface="Arial" panose="020B0604020202020204" pitchFamily="34" charset="0"/>
              <a:ea typeface="+mn-ea"/>
              <a:cs typeface="Arial" panose="020B0604020202020204" pitchFamily="34" charset="0"/>
            </a:rPr>
            <a:t> </a:t>
          </a:r>
          <a:endParaRPr lang="en-AU" sz="1000">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b="1">
              <a:effectLst/>
              <a:latin typeface="Arial" panose="020B0604020202020204" pitchFamily="34" charset="0"/>
              <a:ea typeface="+mn-ea"/>
              <a:cs typeface="Arial" panose="020B0604020202020204" pitchFamily="34" charset="0"/>
            </a:rPr>
            <a:t>Calculator</a:t>
          </a:r>
          <a:r>
            <a:rPr lang="en-AU" sz="1000">
              <a:effectLst/>
              <a:latin typeface="Arial" panose="020B0604020202020204" pitchFamily="34" charset="0"/>
              <a:ea typeface="+mn-ea"/>
              <a:cs typeface="Arial" panose="020B0604020202020204" pitchFamily="34" charset="0"/>
            </a:rPr>
            <a:t> means the estimated</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rehabilitation cost calculator developed by EHS Support Pty Ltd</a:t>
          </a:r>
          <a:r>
            <a:rPr lang="en-AU" sz="1000" baseline="0">
              <a:effectLst/>
              <a:latin typeface="Arial" panose="020B0604020202020204" pitchFamily="34" charset="0"/>
              <a:ea typeface="+mn-ea"/>
              <a:cs typeface="Arial" panose="020B0604020202020204" pitchFamily="34" charset="0"/>
            </a:rPr>
            <a:t> and Mike Slight and Associates on behalf of the State of Queensland </a:t>
          </a:r>
          <a:r>
            <a:rPr lang="en-AU" sz="1000">
              <a:effectLst/>
              <a:latin typeface="Arial" panose="020B0604020202020204" pitchFamily="34" charset="0"/>
              <a:ea typeface="+mn-ea"/>
              <a:cs typeface="Arial" panose="020B0604020202020204" pitchFamily="34" charset="0"/>
            </a:rPr>
            <a:t>for use in calculating rehabilitation liabilities under the </a:t>
          </a:r>
          <a:r>
            <a:rPr lang="en-AU" sz="1000" i="1">
              <a:effectLst/>
              <a:latin typeface="Arial" panose="020B0604020202020204" pitchFamily="34" charset="0"/>
              <a:ea typeface="+mn-ea"/>
              <a:cs typeface="Arial" panose="020B0604020202020204" pitchFamily="34" charset="0"/>
            </a:rPr>
            <a:t>Environmental Protection Act 1994</a:t>
          </a:r>
          <a:r>
            <a:rPr lang="en-AU" sz="1000">
              <a:effectLst/>
              <a:latin typeface="Arial" panose="020B0604020202020204" pitchFamily="34" charset="0"/>
              <a:ea typeface="+mn-ea"/>
              <a:cs typeface="Arial" panose="020B0604020202020204" pitchFamily="34" charset="0"/>
            </a:rPr>
            <a:t>.</a:t>
          </a:r>
          <a:endParaRPr lang="en-AU" sz="1000">
            <a:effectLst/>
            <a:latin typeface="Arial" panose="020B0604020202020204" pitchFamily="34" charset="0"/>
            <a:cs typeface="Arial" panose="020B0604020202020204" pitchFamily="34" charset="0"/>
          </a:endParaRPr>
        </a:p>
        <a:p>
          <a:endParaRPr lang="en-AU" sz="1000" b="1">
            <a:effectLst/>
            <a:latin typeface="Arial" panose="020B0604020202020204" pitchFamily="34" charset="0"/>
            <a:ea typeface="+mn-ea"/>
            <a:cs typeface="Arial" panose="020B0604020202020204" pitchFamily="34" charset="0"/>
          </a:endParaRPr>
        </a:p>
        <a:p>
          <a:r>
            <a:rPr lang="en-AU" sz="1000" b="1">
              <a:effectLst/>
              <a:latin typeface="Arial" panose="020B0604020202020204" pitchFamily="34" charset="0"/>
              <a:ea typeface="+mn-ea"/>
              <a:cs typeface="Arial" panose="020B0604020202020204" pitchFamily="34" charset="0"/>
            </a:rPr>
            <a:t>Chief Executive</a:t>
          </a:r>
          <a:r>
            <a:rPr lang="en-AU" sz="1000">
              <a:effectLst/>
              <a:latin typeface="Arial" panose="020B0604020202020204" pitchFamily="34" charset="0"/>
              <a:ea typeface="+mn-ea"/>
              <a:cs typeface="Arial" panose="020B0604020202020204" pitchFamily="34" charset="0"/>
            </a:rPr>
            <a:t> means the chief executive responsible for administering the </a:t>
          </a:r>
          <a:r>
            <a:rPr lang="en-AU" sz="1000" i="1">
              <a:effectLst/>
              <a:latin typeface="Arial" panose="020B0604020202020204" pitchFamily="34" charset="0"/>
              <a:ea typeface="+mn-ea"/>
              <a:cs typeface="Arial" panose="020B0604020202020204" pitchFamily="34" charset="0"/>
            </a:rPr>
            <a:t>Environmental Protection Act 1994.</a:t>
          </a:r>
          <a:endParaRPr lang="en-AU" sz="100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Department </a:t>
          </a:r>
          <a:r>
            <a:rPr lang="en-AU" sz="1000">
              <a:effectLst/>
              <a:latin typeface="Arial" panose="020B0604020202020204" pitchFamily="34" charset="0"/>
              <a:ea typeface="+mn-ea"/>
              <a:cs typeface="Arial" panose="020B0604020202020204" pitchFamily="34" charset="0"/>
            </a:rPr>
            <a:t>means the State of Queensland through the Department of Environment, Science and Innovation including any successor agency or authority.</a:t>
          </a: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Derivative Work</a:t>
          </a:r>
          <a:r>
            <a:rPr lang="en-AU" sz="1000">
              <a:effectLst/>
              <a:latin typeface="Arial" panose="020B0604020202020204" pitchFamily="34" charset="0"/>
              <a:ea typeface="+mn-ea"/>
              <a:cs typeface="Arial" panose="020B0604020202020204" pitchFamily="34" charset="0"/>
            </a:rPr>
            <a:t> includes any assessment of rehabilitation liability undertaken by or on behalf of the Licensee using the rehabilitation liability calculator or other information product derived by reference to or use of the Calculator.</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Licensee</a:t>
          </a:r>
          <a:r>
            <a:rPr lang="en-AU" sz="1000">
              <a:effectLst/>
              <a:latin typeface="Arial" panose="020B0604020202020204" pitchFamily="34" charset="0"/>
              <a:ea typeface="+mn-ea"/>
              <a:cs typeface="Arial" panose="020B0604020202020204" pitchFamily="34" charset="0"/>
            </a:rPr>
            <a:t> means any person who uses the Calculator or on whose behalf the licence is taken to use the rehabilitation liability calculator.</a:t>
          </a: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Licensors </a:t>
          </a:r>
          <a:r>
            <a:rPr lang="en-AU" sz="1000">
              <a:effectLst/>
              <a:latin typeface="Arial" panose="020B0604020202020204" pitchFamily="34" charset="0"/>
              <a:ea typeface="+mn-ea"/>
              <a:cs typeface="Arial" panose="020B0604020202020204" pitchFamily="34" charset="0"/>
            </a:rPr>
            <a:t>mean the State of Queensland (through the Department of Environment, Science and Innovation).</a:t>
          </a: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Permitted Use</a:t>
          </a:r>
          <a:r>
            <a:rPr lang="en-AU" sz="1000">
              <a:effectLst/>
              <a:latin typeface="Arial" panose="020B0604020202020204" pitchFamily="34" charset="0"/>
              <a:ea typeface="+mn-ea"/>
              <a:cs typeface="Arial" panose="020B0604020202020204" pitchFamily="34" charset="0"/>
            </a:rPr>
            <a:t> means the calculation of a rehabilitation liability assessment for the purposes of the determination of rehabilitation bonds required to be lodged pursuant to the Environmental Protection Act 1994 (Qld).</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16. These terms and conditions and the copyright notice are governed by and are to be construed in accordance with the laws of the State of Queensland.</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ACCEPTANCE </a:t>
          </a:r>
          <a:endParaRPr lang="en-AU" sz="100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I accept the terms and conditions of use above.</a:t>
          </a: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pPr marL="0" marR="0" indent="0" algn="ctr" defTabSz="914400" eaLnBrk="1" fontAlgn="auto" latinLnBrk="0" hangingPunct="1">
            <a:lnSpc>
              <a:spcPts val="1400"/>
            </a:lnSpc>
            <a:spcBef>
              <a:spcPts val="0"/>
            </a:spcBef>
            <a:spcAft>
              <a:spcPts val="0"/>
            </a:spcAft>
            <a:buClrTx/>
            <a:buSzTx/>
            <a:buFontTx/>
            <a:buNone/>
            <a:tabLst/>
            <a:defRPr/>
          </a:pPr>
          <a:endParaRPr lang="en-AU" sz="10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53340</xdr:colOff>
      <xdr:row>1</xdr:row>
      <xdr:rowOff>114300</xdr:rowOff>
    </xdr:from>
    <xdr:to>
      <xdr:col>12</xdr:col>
      <xdr:colOff>106680</xdr:colOff>
      <xdr:row>4</xdr:row>
      <xdr:rowOff>38100</xdr:rowOff>
    </xdr:to>
    <xdr:sp macro="" textlink="">
      <xdr:nvSpPr>
        <xdr:cNvPr id="6" name="TextBox 5">
          <a:extLst>
            <a:ext uri="{FF2B5EF4-FFF2-40B4-BE49-F238E27FC236}">
              <a16:creationId xmlns:a16="http://schemas.microsoft.com/office/drawing/2014/main" id="{DBABC64B-F049-4AF1-8BD1-28EDF93D1F88}"/>
            </a:ext>
          </a:extLst>
        </xdr:cNvPr>
        <xdr:cNvSpPr txBox="1"/>
      </xdr:nvSpPr>
      <xdr:spPr>
        <a:xfrm>
          <a:off x="220980" y="426720"/>
          <a:ext cx="6644640" cy="83058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This document is a guideline made under section 550 of the </a:t>
          </a:r>
          <a:r>
            <a:rPr lang="en-AU" sz="1100" i="1">
              <a:solidFill>
                <a:schemeClr val="dk1"/>
              </a:solidFill>
              <a:effectLst/>
              <a:latin typeface="+mn-lt"/>
              <a:ea typeface="+mn-ea"/>
              <a:cs typeface="+mn-cs"/>
            </a:rPr>
            <a:t>Environmental Protection Act 1994 </a:t>
          </a:r>
          <a:r>
            <a:rPr lang="en-AU" sz="1100">
              <a:solidFill>
                <a:schemeClr val="dk1"/>
              </a:solidFill>
              <a:effectLst/>
              <a:latin typeface="+mn-lt"/>
              <a:ea typeface="+mn-ea"/>
              <a:cs typeface="+mn-cs"/>
            </a:rPr>
            <a:t>(EP Act) to provide guidance relating to the methodology mentioned in section 298(2)(c) of the EP Act and must be used in conjunction with the department’s “Guideline for estimated rehabilitation cost under the </a:t>
          </a:r>
          <a:r>
            <a:rPr lang="en-AU" sz="1100" i="1">
              <a:solidFill>
                <a:schemeClr val="dk1"/>
              </a:solidFill>
              <a:effectLst/>
              <a:latin typeface="+mn-lt"/>
              <a:ea typeface="+mn-ea"/>
              <a:cs typeface="+mn-cs"/>
            </a:rPr>
            <a:t>Environmental Protection Act 1994</a:t>
          </a:r>
          <a:r>
            <a:rPr lang="en-AU" sz="1100">
              <a:solidFill>
                <a:schemeClr val="dk1"/>
              </a:solidFill>
              <a:effectLst/>
              <a:latin typeface="+mn-lt"/>
              <a:ea typeface="+mn-ea"/>
              <a:cs typeface="+mn-cs"/>
            </a:rPr>
            <a:t>” (ESR/2018/4425).</a:t>
          </a:r>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201706</xdr:colOff>
      <xdr:row>7</xdr:row>
      <xdr:rowOff>44824</xdr:rowOff>
    </xdr:from>
    <xdr:to>
      <xdr:col>3</xdr:col>
      <xdr:colOff>4398421</xdr:colOff>
      <xdr:row>7</xdr:row>
      <xdr:rowOff>1597399</xdr:rowOff>
    </xdr:to>
    <xdr:pic>
      <xdr:nvPicPr>
        <xdr:cNvPr id="4" name="Picture 3">
          <a:extLst>
            <a:ext uri="{FF2B5EF4-FFF2-40B4-BE49-F238E27FC236}">
              <a16:creationId xmlns:a16="http://schemas.microsoft.com/office/drawing/2014/main" id="{95107C6A-A7E2-45E7-810D-5E419EE99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5535706"/>
          <a:ext cx="419100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90488</xdr:colOff>
      <xdr:row>0</xdr:row>
      <xdr:rowOff>104776</xdr:rowOff>
    </xdr:from>
    <xdr:to>
      <xdr:col>5</xdr:col>
      <xdr:colOff>252413</xdr:colOff>
      <xdr:row>8</xdr:row>
      <xdr:rowOff>47625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90488" y="104776"/>
          <a:ext cx="3162300" cy="12763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latin typeface="Arial" panose="020B0604020202020204" pitchFamily="34" charset="0"/>
              <a:cs typeface="Arial" panose="020B0604020202020204" pitchFamily="34" charset="0"/>
            </a:rPr>
            <a:t>Input</a:t>
          </a:r>
          <a:r>
            <a:rPr lang="en-AU" sz="1100" baseline="0">
              <a:latin typeface="Arial" panose="020B0604020202020204" pitchFamily="34" charset="0"/>
              <a:cs typeface="Arial" panose="020B0604020202020204" pitchFamily="34" charset="0"/>
            </a:rPr>
            <a:t> Sheets do not have to be used if entries are made to the Main sheet. </a:t>
          </a:r>
          <a:r>
            <a:rPr lang="en-AU" sz="1100" b="1" baseline="0">
              <a:latin typeface="Arial" panose="020B0604020202020204" pitchFamily="34" charset="0"/>
              <a:cs typeface="Arial" panose="020B0604020202020204" pitchFamily="34" charset="0"/>
            </a:rPr>
            <a:t>Entries are only entered into one place</a:t>
          </a:r>
          <a:r>
            <a:rPr lang="en-AU" sz="1100" baseline="0">
              <a:latin typeface="Arial" panose="020B0604020202020204" pitchFamily="34" charset="0"/>
              <a:cs typeface="Arial" panose="020B0604020202020204" pitchFamily="34" charset="0"/>
            </a:rPr>
            <a:t>. The Input sheets provide worksheets for the user to build-up costs.  Use of Input sheets can be beneficial in that more information is provided to the department</a:t>
          </a:r>
          <a:r>
            <a:rPr lang="en-AU" sz="1100" baseline="0"/>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534935</xdr:colOff>
      <xdr:row>36</xdr:row>
      <xdr:rowOff>141816</xdr:rowOff>
    </xdr:from>
    <xdr:to>
      <xdr:col>13</xdr:col>
      <xdr:colOff>2964</xdr:colOff>
      <xdr:row>54</xdr:row>
      <xdr:rowOff>36484</xdr:rowOff>
    </xdr:to>
    <xdr:pic>
      <xdr:nvPicPr>
        <xdr:cNvPr id="3" name="Picture 2">
          <a:extLst>
            <a:ext uri="{FF2B5EF4-FFF2-40B4-BE49-F238E27FC236}">
              <a16:creationId xmlns:a16="http://schemas.microsoft.com/office/drawing/2014/main" id="{A0A11C80-5F7E-438C-AD6D-C8B1B52E07B6}"/>
            </a:ext>
          </a:extLst>
        </xdr:cNvPr>
        <xdr:cNvPicPr>
          <a:picLocks noChangeAspect="1"/>
        </xdr:cNvPicPr>
      </xdr:nvPicPr>
      <xdr:blipFill>
        <a:blip xmlns:r="http://schemas.openxmlformats.org/officeDocument/2006/relationships" r:embed="rId1"/>
        <a:stretch>
          <a:fillRect/>
        </a:stretch>
      </xdr:blipFill>
      <xdr:spPr>
        <a:xfrm>
          <a:off x="11404018" y="7835899"/>
          <a:ext cx="2934494" cy="33977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9.bin"/><Relationship Id="rId1" Type="http://schemas.openxmlformats.org/officeDocument/2006/relationships/hyperlink" Target="http://www.engineeringcivil.com/weight-calculator.html/comment-page-8"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8D7C7-1D5A-4E01-9670-4BAAAFA2A5FB}">
  <sheetPr codeName="Sheet110"/>
  <dimension ref="A1:BV60"/>
  <sheetViews>
    <sheetView showGridLines="0" topLeftCell="Z18" zoomScaleNormal="100" zoomScaleSheetLayoutView="70" workbookViewId="0">
      <selection activeCell="BB51" sqref="BB51"/>
    </sheetView>
  </sheetViews>
  <sheetFormatPr defaultRowHeight="0" customHeight="1" zeroHeight="1"/>
  <cols>
    <col min="1" max="2" width="2.42578125" customWidth="1"/>
    <col min="3" max="9" width="9.28515625" customWidth="1"/>
    <col min="10" max="10" width="9.7109375" customWidth="1"/>
    <col min="11" max="12" width="9.28515625" customWidth="1"/>
    <col min="13" max="16" width="2.42578125" customWidth="1"/>
    <col min="17" max="23" width="9.28515625" customWidth="1"/>
    <col min="24" max="24" width="9.5703125" customWidth="1"/>
    <col min="25" max="25" width="10.42578125" customWidth="1"/>
    <col min="26" max="26" width="9.28515625" customWidth="1"/>
    <col min="27" max="30" width="2.42578125" customWidth="1"/>
    <col min="31" max="37" width="9.28515625" customWidth="1"/>
    <col min="38" max="38" width="10.7109375" customWidth="1"/>
    <col min="39" max="40" width="9.28515625" customWidth="1"/>
    <col min="41" max="42" width="2.42578125" customWidth="1"/>
    <col min="43" max="43" width="2.42578125" style="163" customWidth="1"/>
    <col min="44" max="44" width="2.42578125" customWidth="1"/>
    <col min="45" max="51" width="9.28515625" customWidth="1"/>
    <col min="52" max="52" width="11" customWidth="1"/>
    <col min="53" max="54" width="9.28515625" customWidth="1"/>
    <col min="55" max="56" width="2.42578125" customWidth="1"/>
    <col min="57" max="74" width="9.28515625" style="165" customWidth="1"/>
    <col min="75" max="256" width="8.7109375"/>
    <col min="257" max="258" width="2.42578125" customWidth="1"/>
    <col min="259" max="268" width="9.28515625" customWidth="1"/>
    <col min="269" max="272" width="2.42578125" customWidth="1"/>
    <col min="273" max="282" width="9.28515625" customWidth="1"/>
    <col min="283" max="286" width="2.42578125" customWidth="1"/>
    <col min="287" max="296" width="9.28515625" customWidth="1"/>
    <col min="297" max="300" width="2.42578125" customWidth="1"/>
    <col min="301" max="310" width="9.28515625" customWidth="1"/>
    <col min="311" max="312" width="2.42578125" customWidth="1"/>
    <col min="313" max="330" width="9.28515625" customWidth="1"/>
    <col min="331" max="512" width="8.7109375"/>
    <col min="513" max="514" width="2.42578125" customWidth="1"/>
    <col min="515" max="524" width="9.28515625" customWidth="1"/>
    <col min="525" max="528" width="2.42578125" customWidth="1"/>
    <col min="529" max="538" width="9.28515625" customWidth="1"/>
    <col min="539" max="542" width="2.42578125" customWidth="1"/>
    <col min="543" max="552" width="9.28515625" customWidth="1"/>
    <col min="553" max="556" width="2.42578125" customWidth="1"/>
    <col min="557" max="566" width="9.28515625" customWidth="1"/>
    <col min="567" max="568" width="2.42578125" customWidth="1"/>
    <col min="569" max="586" width="9.28515625" customWidth="1"/>
    <col min="587" max="768" width="8.7109375"/>
    <col min="769" max="770" width="2.42578125" customWidth="1"/>
    <col min="771" max="780" width="9.28515625" customWidth="1"/>
    <col min="781" max="784" width="2.42578125" customWidth="1"/>
    <col min="785" max="794" width="9.28515625" customWidth="1"/>
    <col min="795" max="798" width="2.42578125" customWidth="1"/>
    <col min="799" max="808" width="9.28515625" customWidth="1"/>
    <col min="809" max="812" width="2.42578125" customWidth="1"/>
    <col min="813" max="822" width="9.28515625" customWidth="1"/>
    <col min="823" max="824" width="2.42578125" customWidth="1"/>
    <col min="825" max="842" width="9.28515625" customWidth="1"/>
    <col min="843" max="1024" width="8.7109375"/>
    <col min="1025" max="1026" width="2.42578125" customWidth="1"/>
    <col min="1027" max="1036" width="9.28515625" customWidth="1"/>
    <col min="1037" max="1040" width="2.42578125" customWidth="1"/>
    <col min="1041" max="1050" width="9.28515625" customWidth="1"/>
    <col min="1051" max="1054" width="2.42578125" customWidth="1"/>
    <col min="1055" max="1064" width="9.28515625" customWidth="1"/>
    <col min="1065" max="1068" width="2.42578125" customWidth="1"/>
    <col min="1069" max="1078" width="9.28515625" customWidth="1"/>
    <col min="1079" max="1080" width="2.42578125" customWidth="1"/>
    <col min="1081" max="1098" width="9.28515625" customWidth="1"/>
    <col min="1099" max="1280" width="8.7109375"/>
    <col min="1281" max="1282" width="2.42578125" customWidth="1"/>
    <col min="1283" max="1292" width="9.28515625" customWidth="1"/>
    <col min="1293" max="1296" width="2.42578125" customWidth="1"/>
    <col min="1297" max="1306" width="9.28515625" customWidth="1"/>
    <col min="1307" max="1310" width="2.42578125" customWidth="1"/>
    <col min="1311" max="1320" width="9.28515625" customWidth="1"/>
    <col min="1321" max="1324" width="2.42578125" customWidth="1"/>
    <col min="1325" max="1334" width="9.28515625" customWidth="1"/>
    <col min="1335" max="1336" width="2.42578125" customWidth="1"/>
    <col min="1337" max="1354" width="9.28515625" customWidth="1"/>
    <col min="1355" max="1536" width="8.7109375"/>
    <col min="1537" max="1538" width="2.42578125" customWidth="1"/>
    <col min="1539" max="1548" width="9.28515625" customWidth="1"/>
    <col min="1549" max="1552" width="2.42578125" customWidth="1"/>
    <col min="1553" max="1562" width="9.28515625" customWidth="1"/>
    <col min="1563" max="1566" width="2.42578125" customWidth="1"/>
    <col min="1567" max="1576" width="9.28515625" customWidth="1"/>
    <col min="1577" max="1580" width="2.42578125" customWidth="1"/>
    <col min="1581" max="1590" width="9.28515625" customWidth="1"/>
    <col min="1591" max="1592" width="2.42578125" customWidth="1"/>
    <col min="1593" max="1610" width="9.28515625" customWidth="1"/>
    <col min="1611" max="1792" width="8.7109375"/>
    <col min="1793" max="1794" width="2.42578125" customWidth="1"/>
    <col min="1795" max="1804" width="9.28515625" customWidth="1"/>
    <col min="1805" max="1808" width="2.42578125" customWidth="1"/>
    <col min="1809" max="1818" width="9.28515625" customWidth="1"/>
    <col min="1819" max="1822" width="2.42578125" customWidth="1"/>
    <col min="1823" max="1832" width="9.28515625" customWidth="1"/>
    <col min="1833" max="1836" width="2.42578125" customWidth="1"/>
    <col min="1837" max="1846" width="9.28515625" customWidth="1"/>
    <col min="1847" max="1848" width="2.42578125" customWidth="1"/>
    <col min="1849" max="1866" width="9.28515625" customWidth="1"/>
    <col min="1867" max="2048" width="8.7109375"/>
    <col min="2049" max="2050" width="2.42578125" customWidth="1"/>
    <col min="2051" max="2060" width="9.28515625" customWidth="1"/>
    <col min="2061" max="2064" width="2.42578125" customWidth="1"/>
    <col min="2065" max="2074" width="9.28515625" customWidth="1"/>
    <col min="2075" max="2078" width="2.42578125" customWidth="1"/>
    <col min="2079" max="2088" width="9.28515625" customWidth="1"/>
    <col min="2089" max="2092" width="2.42578125" customWidth="1"/>
    <col min="2093" max="2102" width="9.28515625" customWidth="1"/>
    <col min="2103" max="2104" width="2.42578125" customWidth="1"/>
    <col min="2105" max="2122" width="9.28515625" customWidth="1"/>
    <col min="2123" max="2304" width="8.7109375"/>
    <col min="2305" max="2306" width="2.42578125" customWidth="1"/>
    <col min="2307" max="2316" width="9.28515625" customWidth="1"/>
    <col min="2317" max="2320" width="2.42578125" customWidth="1"/>
    <col min="2321" max="2330" width="9.28515625" customWidth="1"/>
    <col min="2331" max="2334" width="2.42578125" customWidth="1"/>
    <col min="2335" max="2344" width="9.28515625" customWidth="1"/>
    <col min="2345" max="2348" width="2.42578125" customWidth="1"/>
    <col min="2349" max="2358" width="9.28515625" customWidth="1"/>
    <col min="2359" max="2360" width="2.42578125" customWidth="1"/>
    <col min="2361" max="2378" width="9.28515625" customWidth="1"/>
    <col min="2379" max="2560" width="8.7109375"/>
    <col min="2561" max="2562" width="2.42578125" customWidth="1"/>
    <col min="2563" max="2572" width="9.28515625" customWidth="1"/>
    <col min="2573" max="2576" width="2.42578125" customWidth="1"/>
    <col min="2577" max="2586" width="9.28515625" customWidth="1"/>
    <col min="2587" max="2590" width="2.42578125" customWidth="1"/>
    <col min="2591" max="2600" width="9.28515625" customWidth="1"/>
    <col min="2601" max="2604" width="2.42578125" customWidth="1"/>
    <col min="2605" max="2614" width="9.28515625" customWidth="1"/>
    <col min="2615" max="2616" width="2.42578125" customWidth="1"/>
    <col min="2617" max="2634" width="9.28515625" customWidth="1"/>
    <col min="2635" max="2816" width="8.7109375"/>
    <col min="2817" max="2818" width="2.42578125" customWidth="1"/>
    <col min="2819" max="2828" width="9.28515625" customWidth="1"/>
    <col min="2829" max="2832" width="2.42578125" customWidth="1"/>
    <col min="2833" max="2842" width="9.28515625" customWidth="1"/>
    <col min="2843" max="2846" width="2.42578125" customWidth="1"/>
    <col min="2847" max="2856" width="9.28515625" customWidth="1"/>
    <col min="2857" max="2860" width="2.42578125" customWidth="1"/>
    <col min="2861" max="2870" width="9.28515625" customWidth="1"/>
    <col min="2871" max="2872" width="2.42578125" customWidth="1"/>
    <col min="2873" max="2890" width="9.28515625" customWidth="1"/>
    <col min="2891" max="3072" width="8.7109375"/>
    <col min="3073" max="3074" width="2.42578125" customWidth="1"/>
    <col min="3075" max="3084" width="9.28515625" customWidth="1"/>
    <col min="3085" max="3088" width="2.42578125" customWidth="1"/>
    <col min="3089" max="3098" width="9.28515625" customWidth="1"/>
    <col min="3099" max="3102" width="2.42578125" customWidth="1"/>
    <col min="3103" max="3112" width="9.28515625" customWidth="1"/>
    <col min="3113" max="3116" width="2.42578125" customWidth="1"/>
    <col min="3117" max="3126" width="9.28515625" customWidth="1"/>
    <col min="3127" max="3128" width="2.42578125" customWidth="1"/>
    <col min="3129" max="3146" width="9.28515625" customWidth="1"/>
    <col min="3147" max="3328" width="8.7109375"/>
    <col min="3329" max="3330" width="2.42578125" customWidth="1"/>
    <col min="3331" max="3340" width="9.28515625" customWidth="1"/>
    <col min="3341" max="3344" width="2.42578125" customWidth="1"/>
    <col min="3345" max="3354" width="9.28515625" customWidth="1"/>
    <col min="3355" max="3358" width="2.42578125" customWidth="1"/>
    <col min="3359" max="3368" width="9.28515625" customWidth="1"/>
    <col min="3369" max="3372" width="2.42578125" customWidth="1"/>
    <col min="3373" max="3382" width="9.28515625" customWidth="1"/>
    <col min="3383" max="3384" width="2.42578125" customWidth="1"/>
    <col min="3385" max="3402" width="9.28515625" customWidth="1"/>
    <col min="3403" max="3584" width="8.7109375"/>
    <col min="3585" max="3586" width="2.42578125" customWidth="1"/>
    <col min="3587" max="3596" width="9.28515625" customWidth="1"/>
    <col min="3597" max="3600" width="2.42578125" customWidth="1"/>
    <col min="3601" max="3610" width="9.28515625" customWidth="1"/>
    <col min="3611" max="3614" width="2.42578125" customWidth="1"/>
    <col min="3615" max="3624" width="9.28515625" customWidth="1"/>
    <col min="3625" max="3628" width="2.42578125" customWidth="1"/>
    <col min="3629" max="3638" width="9.28515625" customWidth="1"/>
    <col min="3639" max="3640" width="2.42578125" customWidth="1"/>
    <col min="3641" max="3658" width="9.28515625" customWidth="1"/>
    <col min="3659" max="3840" width="8.7109375"/>
    <col min="3841" max="3842" width="2.42578125" customWidth="1"/>
    <col min="3843" max="3852" width="9.28515625" customWidth="1"/>
    <col min="3853" max="3856" width="2.42578125" customWidth="1"/>
    <col min="3857" max="3866" width="9.28515625" customWidth="1"/>
    <col min="3867" max="3870" width="2.42578125" customWidth="1"/>
    <col min="3871" max="3880" width="9.28515625" customWidth="1"/>
    <col min="3881" max="3884" width="2.42578125" customWidth="1"/>
    <col min="3885" max="3894" width="9.28515625" customWidth="1"/>
    <col min="3895" max="3896" width="2.42578125" customWidth="1"/>
    <col min="3897" max="3914" width="9.28515625" customWidth="1"/>
    <col min="3915" max="4096" width="8.7109375"/>
    <col min="4097" max="4098" width="2.42578125" customWidth="1"/>
    <col min="4099" max="4108" width="9.28515625" customWidth="1"/>
    <col min="4109" max="4112" width="2.42578125" customWidth="1"/>
    <col min="4113" max="4122" width="9.28515625" customWidth="1"/>
    <col min="4123" max="4126" width="2.42578125" customWidth="1"/>
    <col min="4127" max="4136" width="9.28515625" customWidth="1"/>
    <col min="4137" max="4140" width="2.42578125" customWidth="1"/>
    <col min="4141" max="4150" width="9.28515625" customWidth="1"/>
    <col min="4151" max="4152" width="2.42578125" customWidth="1"/>
    <col min="4153" max="4170" width="9.28515625" customWidth="1"/>
    <col min="4171" max="4352" width="8.7109375"/>
    <col min="4353" max="4354" width="2.42578125" customWidth="1"/>
    <col min="4355" max="4364" width="9.28515625" customWidth="1"/>
    <col min="4365" max="4368" width="2.42578125" customWidth="1"/>
    <col min="4369" max="4378" width="9.28515625" customWidth="1"/>
    <col min="4379" max="4382" width="2.42578125" customWidth="1"/>
    <col min="4383" max="4392" width="9.28515625" customWidth="1"/>
    <col min="4393" max="4396" width="2.42578125" customWidth="1"/>
    <col min="4397" max="4406" width="9.28515625" customWidth="1"/>
    <col min="4407" max="4408" width="2.42578125" customWidth="1"/>
    <col min="4409" max="4426" width="9.28515625" customWidth="1"/>
    <col min="4427" max="4608" width="8.7109375"/>
    <col min="4609" max="4610" width="2.42578125" customWidth="1"/>
    <col min="4611" max="4620" width="9.28515625" customWidth="1"/>
    <col min="4621" max="4624" width="2.42578125" customWidth="1"/>
    <col min="4625" max="4634" width="9.28515625" customWidth="1"/>
    <col min="4635" max="4638" width="2.42578125" customWidth="1"/>
    <col min="4639" max="4648" width="9.28515625" customWidth="1"/>
    <col min="4649" max="4652" width="2.42578125" customWidth="1"/>
    <col min="4653" max="4662" width="9.28515625" customWidth="1"/>
    <col min="4663" max="4664" width="2.42578125" customWidth="1"/>
    <col min="4665" max="4682" width="9.28515625" customWidth="1"/>
    <col min="4683" max="4864" width="8.7109375"/>
    <col min="4865" max="4866" width="2.42578125" customWidth="1"/>
    <col min="4867" max="4876" width="9.28515625" customWidth="1"/>
    <col min="4877" max="4880" width="2.42578125" customWidth="1"/>
    <col min="4881" max="4890" width="9.28515625" customWidth="1"/>
    <col min="4891" max="4894" width="2.42578125" customWidth="1"/>
    <col min="4895" max="4904" width="9.28515625" customWidth="1"/>
    <col min="4905" max="4908" width="2.42578125" customWidth="1"/>
    <col min="4909" max="4918" width="9.28515625" customWidth="1"/>
    <col min="4919" max="4920" width="2.42578125" customWidth="1"/>
    <col min="4921" max="4938" width="9.28515625" customWidth="1"/>
    <col min="4939" max="5120" width="8.7109375"/>
    <col min="5121" max="5122" width="2.42578125" customWidth="1"/>
    <col min="5123" max="5132" width="9.28515625" customWidth="1"/>
    <col min="5133" max="5136" width="2.42578125" customWidth="1"/>
    <col min="5137" max="5146" width="9.28515625" customWidth="1"/>
    <col min="5147" max="5150" width="2.42578125" customWidth="1"/>
    <col min="5151" max="5160" width="9.28515625" customWidth="1"/>
    <col min="5161" max="5164" width="2.42578125" customWidth="1"/>
    <col min="5165" max="5174" width="9.28515625" customWidth="1"/>
    <col min="5175" max="5176" width="2.42578125" customWidth="1"/>
    <col min="5177" max="5194" width="9.28515625" customWidth="1"/>
    <col min="5195" max="5376" width="8.7109375"/>
    <col min="5377" max="5378" width="2.42578125" customWidth="1"/>
    <col min="5379" max="5388" width="9.28515625" customWidth="1"/>
    <col min="5389" max="5392" width="2.42578125" customWidth="1"/>
    <col min="5393" max="5402" width="9.28515625" customWidth="1"/>
    <col min="5403" max="5406" width="2.42578125" customWidth="1"/>
    <col min="5407" max="5416" width="9.28515625" customWidth="1"/>
    <col min="5417" max="5420" width="2.42578125" customWidth="1"/>
    <col min="5421" max="5430" width="9.28515625" customWidth="1"/>
    <col min="5431" max="5432" width="2.42578125" customWidth="1"/>
    <col min="5433" max="5450" width="9.28515625" customWidth="1"/>
    <col min="5451" max="5632" width="8.7109375"/>
    <col min="5633" max="5634" width="2.42578125" customWidth="1"/>
    <col min="5635" max="5644" width="9.28515625" customWidth="1"/>
    <col min="5645" max="5648" width="2.42578125" customWidth="1"/>
    <col min="5649" max="5658" width="9.28515625" customWidth="1"/>
    <col min="5659" max="5662" width="2.42578125" customWidth="1"/>
    <col min="5663" max="5672" width="9.28515625" customWidth="1"/>
    <col min="5673" max="5676" width="2.42578125" customWidth="1"/>
    <col min="5677" max="5686" width="9.28515625" customWidth="1"/>
    <col min="5687" max="5688" width="2.42578125" customWidth="1"/>
    <col min="5689" max="5706" width="9.28515625" customWidth="1"/>
    <col min="5707" max="5888" width="8.7109375"/>
    <col min="5889" max="5890" width="2.42578125" customWidth="1"/>
    <col min="5891" max="5900" width="9.28515625" customWidth="1"/>
    <col min="5901" max="5904" width="2.42578125" customWidth="1"/>
    <col min="5905" max="5914" width="9.28515625" customWidth="1"/>
    <col min="5915" max="5918" width="2.42578125" customWidth="1"/>
    <col min="5919" max="5928" width="9.28515625" customWidth="1"/>
    <col min="5929" max="5932" width="2.42578125" customWidth="1"/>
    <col min="5933" max="5942" width="9.28515625" customWidth="1"/>
    <col min="5943" max="5944" width="2.42578125" customWidth="1"/>
    <col min="5945" max="5962" width="9.28515625" customWidth="1"/>
    <col min="5963" max="6144" width="8.7109375"/>
    <col min="6145" max="6146" width="2.42578125" customWidth="1"/>
    <col min="6147" max="6156" width="9.28515625" customWidth="1"/>
    <col min="6157" max="6160" width="2.42578125" customWidth="1"/>
    <col min="6161" max="6170" width="9.28515625" customWidth="1"/>
    <col min="6171" max="6174" width="2.42578125" customWidth="1"/>
    <col min="6175" max="6184" width="9.28515625" customWidth="1"/>
    <col min="6185" max="6188" width="2.42578125" customWidth="1"/>
    <col min="6189" max="6198" width="9.28515625" customWidth="1"/>
    <col min="6199" max="6200" width="2.42578125" customWidth="1"/>
    <col min="6201" max="6218" width="9.28515625" customWidth="1"/>
    <col min="6219" max="6400" width="8.7109375"/>
    <col min="6401" max="6402" width="2.42578125" customWidth="1"/>
    <col min="6403" max="6412" width="9.28515625" customWidth="1"/>
    <col min="6413" max="6416" width="2.42578125" customWidth="1"/>
    <col min="6417" max="6426" width="9.28515625" customWidth="1"/>
    <col min="6427" max="6430" width="2.42578125" customWidth="1"/>
    <col min="6431" max="6440" width="9.28515625" customWidth="1"/>
    <col min="6441" max="6444" width="2.42578125" customWidth="1"/>
    <col min="6445" max="6454" width="9.28515625" customWidth="1"/>
    <col min="6455" max="6456" width="2.42578125" customWidth="1"/>
    <col min="6457" max="6474" width="9.28515625" customWidth="1"/>
    <col min="6475" max="6656" width="8.7109375"/>
    <col min="6657" max="6658" width="2.42578125" customWidth="1"/>
    <col min="6659" max="6668" width="9.28515625" customWidth="1"/>
    <col min="6669" max="6672" width="2.42578125" customWidth="1"/>
    <col min="6673" max="6682" width="9.28515625" customWidth="1"/>
    <col min="6683" max="6686" width="2.42578125" customWidth="1"/>
    <col min="6687" max="6696" width="9.28515625" customWidth="1"/>
    <col min="6697" max="6700" width="2.42578125" customWidth="1"/>
    <col min="6701" max="6710" width="9.28515625" customWidth="1"/>
    <col min="6711" max="6712" width="2.42578125" customWidth="1"/>
    <col min="6713" max="6730" width="9.28515625" customWidth="1"/>
    <col min="6731" max="6912" width="8.7109375"/>
    <col min="6913" max="6914" width="2.42578125" customWidth="1"/>
    <col min="6915" max="6924" width="9.28515625" customWidth="1"/>
    <col min="6925" max="6928" width="2.42578125" customWidth="1"/>
    <col min="6929" max="6938" width="9.28515625" customWidth="1"/>
    <col min="6939" max="6942" width="2.42578125" customWidth="1"/>
    <col min="6943" max="6952" width="9.28515625" customWidth="1"/>
    <col min="6953" max="6956" width="2.42578125" customWidth="1"/>
    <col min="6957" max="6966" width="9.28515625" customWidth="1"/>
    <col min="6967" max="6968" width="2.42578125" customWidth="1"/>
    <col min="6969" max="6986" width="9.28515625" customWidth="1"/>
    <col min="6987" max="7168" width="8.7109375"/>
    <col min="7169" max="7170" width="2.42578125" customWidth="1"/>
    <col min="7171" max="7180" width="9.28515625" customWidth="1"/>
    <col min="7181" max="7184" width="2.42578125" customWidth="1"/>
    <col min="7185" max="7194" width="9.28515625" customWidth="1"/>
    <col min="7195" max="7198" width="2.42578125" customWidth="1"/>
    <col min="7199" max="7208" width="9.28515625" customWidth="1"/>
    <col min="7209" max="7212" width="2.42578125" customWidth="1"/>
    <col min="7213" max="7222" width="9.28515625" customWidth="1"/>
    <col min="7223" max="7224" width="2.42578125" customWidth="1"/>
    <col min="7225" max="7242" width="9.28515625" customWidth="1"/>
    <col min="7243" max="7424" width="8.7109375"/>
    <col min="7425" max="7426" width="2.42578125" customWidth="1"/>
    <col min="7427" max="7436" width="9.28515625" customWidth="1"/>
    <col min="7437" max="7440" width="2.42578125" customWidth="1"/>
    <col min="7441" max="7450" width="9.28515625" customWidth="1"/>
    <col min="7451" max="7454" width="2.42578125" customWidth="1"/>
    <col min="7455" max="7464" width="9.28515625" customWidth="1"/>
    <col min="7465" max="7468" width="2.42578125" customWidth="1"/>
    <col min="7469" max="7478" width="9.28515625" customWidth="1"/>
    <col min="7479" max="7480" width="2.42578125" customWidth="1"/>
    <col min="7481" max="7498" width="9.28515625" customWidth="1"/>
    <col min="7499" max="7680" width="8.7109375"/>
    <col min="7681" max="7682" width="2.42578125" customWidth="1"/>
    <col min="7683" max="7692" width="9.28515625" customWidth="1"/>
    <col min="7693" max="7696" width="2.42578125" customWidth="1"/>
    <col min="7697" max="7706" width="9.28515625" customWidth="1"/>
    <col min="7707" max="7710" width="2.42578125" customWidth="1"/>
    <col min="7711" max="7720" width="9.28515625" customWidth="1"/>
    <col min="7721" max="7724" width="2.42578125" customWidth="1"/>
    <col min="7725" max="7734" width="9.28515625" customWidth="1"/>
    <col min="7735" max="7736" width="2.42578125" customWidth="1"/>
    <col min="7737" max="7754" width="9.28515625" customWidth="1"/>
    <col min="7755" max="7936" width="8.7109375"/>
    <col min="7937" max="7938" width="2.42578125" customWidth="1"/>
    <col min="7939" max="7948" width="9.28515625" customWidth="1"/>
    <col min="7949" max="7952" width="2.42578125" customWidth="1"/>
    <col min="7953" max="7962" width="9.28515625" customWidth="1"/>
    <col min="7963" max="7966" width="2.42578125" customWidth="1"/>
    <col min="7967" max="7976" width="9.28515625" customWidth="1"/>
    <col min="7977" max="7980" width="2.42578125" customWidth="1"/>
    <col min="7981" max="7990" width="9.28515625" customWidth="1"/>
    <col min="7991" max="7992" width="2.42578125" customWidth="1"/>
    <col min="7993" max="8010" width="9.28515625" customWidth="1"/>
    <col min="8011" max="8192" width="8.7109375"/>
    <col min="8193" max="8194" width="2.42578125" customWidth="1"/>
    <col min="8195" max="8204" width="9.28515625" customWidth="1"/>
    <col min="8205" max="8208" width="2.42578125" customWidth="1"/>
    <col min="8209" max="8218" width="9.28515625" customWidth="1"/>
    <col min="8219" max="8222" width="2.42578125" customWidth="1"/>
    <col min="8223" max="8232" width="9.28515625" customWidth="1"/>
    <col min="8233" max="8236" width="2.42578125" customWidth="1"/>
    <col min="8237" max="8246" width="9.28515625" customWidth="1"/>
    <col min="8247" max="8248" width="2.42578125" customWidth="1"/>
    <col min="8249" max="8266" width="9.28515625" customWidth="1"/>
    <col min="8267" max="8448" width="8.7109375"/>
    <col min="8449" max="8450" width="2.42578125" customWidth="1"/>
    <col min="8451" max="8460" width="9.28515625" customWidth="1"/>
    <col min="8461" max="8464" width="2.42578125" customWidth="1"/>
    <col min="8465" max="8474" width="9.28515625" customWidth="1"/>
    <col min="8475" max="8478" width="2.42578125" customWidth="1"/>
    <col min="8479" max="8488" width="9.28515625" customWidth="1"/>
    <col min="8489" max="8492" width="2.42578125" customWidth="1"/>
    <col min="8493" max="8502" width="9.28515625" customWidth="1"/>
    <col min="8503" max="8504" width="2.42578125" customWidth="1"/>
    <col min="8505" max="8522" width="9.28515625" customWidth="1"/>
    <col min="8523" max="8704" width="8.7109375"/>
    <col min="8705" max="8706" width="2.42578125" customWidth="1"/>
    <col min="8707" max="8716" width="9.28515625" customWidth="1"/>
    <col min="8717" max="8720" width="2.42578125" customWidth="1"/>
    <col min="8721" max="8730" width="9.28515625" customWidth="1"/>
    <col min="8731" max="8734" width="2.42578125" customWidth="1"/>
    <col min="8735" max="8744" width="9.28515625" customWidth="1"/>
    <col min="8745" max="8748" width="2.42578125" customWidth="1"/>
    <col min="8749" max="8758" width="9.28515625" customWidth="1"/>
    <col min="8759" max="8760" width="2.42578125" customWidth="1"/>
    <col min="8761" max="8778" width="9.28515625" customWidth="1"/>
    <col min="8779" max="8960" width="8.7109375"/>
    <col min="8961" max="8962" width="2.42578125" customWidth="1"/>
    <col min="8963" max="8972" width="9.28515625" customWidth="1"/>
    <col min="8973" max="8976" width="2.42578125" customWidth="1"/>
    <col min="8977" max="8986" width="9.28515625" customWidth="1"/>
    <col min="8987" max="8990" width="2.42578125" customWidth="1"/>
    <col min="8991" max="9000" width="9.28515625" customWidth="1"/>
    <col min="9001" max="9004" width="2.42578125" customWidth="1"/>
    <col min="9005" max="9014" width="9.28515625" customWidth="1"/>
    <col min="9015" max="9016" width="2.42578125" customWidth="1"/>
    <col min="9017" max="9034" width="9.28515625" customWidth="1"/>
    <col min="9035" max="9216" width="8.7109375"/>
    <col min="9217" max="9218" width="2.42578125" customWidth="1"/>
    <col min="9219" max="9228" width="9.28515625" customWidth="1"/>
    <col min="9229" max="9232" width="2.42578125" customWidth="1"/>
    <col min="9233" max="9242" width="9.28515625" customWidth="1"/>
    <col min="9243" max="9246" width="2.42578125" customWidth="1"/>
    <col min="9247" max="9256" width="9.28515625" customWidth="1"/>
    <col min="9257" max="9260" width="2.42578125" customWidth="1"/>
    <col min="9261" max="9270" width="9.28515625" customWidth="1"/>
    <col min="9271" max="9272" width="2.42578125" customWidth="1"/>
    <col min="9273" max="9290" width="9.28515625" customWidth="1"/>
    <col min="9291" max="9472" width="8.7109375"/>
    <col min="9473" max="9474" width="2.42578125" customWidth="1"/>
    <col min="9475" max="9484" width="9.28515625" customWidth="1"/>
    <col min="9485" max="9488" width="2.42578125" customWidth="1"/>
    <col min="9489" max="9498" width="9.28515625" customWidth="1"/>
    <col min="9499" max="9502" width="2.42578125" customWidth="1"/>
    <col min="9503" max="9512" width="9.28515625" customWidth="1"/>
    <col min="9513" max="9516" width="2.42578125" customWidth="1"/>
    <col min="9517" max="9526" width="9.28515625" customWidth="1"/>
    <col min="9527" max="9528" width="2.42578125" customWidth="1"/>
    <col min="9529" max="9546" width="9.28515625" customWidth="1"/>
    <col min="9547" max="9728" width="8.7109375"/>
    <col min="9729" max="9730" width="2.42578125" customWidth="1"/>
    <col min="9731" max="9740" width="9.28515625" customWidth="1"/>
    <col min="9741" max="9744" width="2.42578125" customWidth="1"/>
    <col min="9745" max="9754" width="9.28515625" customWidth="1"/>
    <col min="9755" max="9758" width="2.42578125" customWidth="1"/>
    <col min="9759" max="9768" width="9.28515625" customWidth="1"/>
    <col min="9769" max="9772" width="2.42578125" customWidth="1"/>
    <col min="9773" max="9782" width="9.28515625" customWidth="1"/>
    <col min="9783" max="9784" width="2.42578125" customWidth="1"/>
    <col min="9785" max="9802" width="9.28515625" customWidth="1"/>
    <col min="9803" max="9984" width="8.7109375"/>
    <col min="9985" max="9986" width="2.42578125" customWidth="1"/>
    <col min="9987" max="9996" width="9.28515625" customWidth="1"/>
    <col min="9997" max="10000" width="2.42578125" customWidth="1"/>
    <col min="10001" max="10010" width="9.28515625" customWidth="1"/>
    <col min="10011" max="10014" width="2.42578125" customWidth="1"/>
    <col min="10015" max="10024" width="9.28515625" customWidth="1"/>
    <col min="10025" max="10028" width="2.42578125" customWidth="1"/>
    <col min="10029" max="10038" width="9.28515625" customWidth="1"/>
    <col min="10039" max="10040" width="2.42578125" customWidth="1"/>
    <col min="10041" max="10058" width="9.28515625" customWidth="1"/>
    <col min="10059" max="10240" width="8.7109375"/>
    <col min="10241" max="10242" width="2.42578125" customWidth="1"/>
    <col min="10243" max="10252" width="9.28515625" customWidth="1"/>
    <col min="10253" max="10256" width="2.42578125" customWidth="1"/>
    <col min="10257" max="10266" width="9.28515625" customWidth="1"/>
    <col min="10267" max="10270" width="2.42578125" customWidth="1"/>
    <col min="10271" max="10280" width="9.28515625" customWidth="1"/>
    <col min="10281" max="10284" width="2.42578125" customWidth="1"/>
    <col min="10285" max="10294" width="9.28515625" customWidth="1"/>
    <col min="10295" max="10296" width="2.42578125" customWidth="1"/>
    <col min="10297" max="10314" width="9.28515625" customWidth="1"/>
    <col min="10315" max="10496" width="8.7109375"/>
    <col min="10497" max="10498" width="2.42578125" customWidth="1"/>
    <col min="10499" max="10508" width="9.28515625" customWidth="1"/>
    <col min="10509" max="10512" width="2.42578125" customWidth="1"/>
    <col min="10513" max="10522" width="9.28515625" customWidth="1"/>
    <col min="10523" max="10526" width="2.42578125" customWidth="1"/>
    <col min="10527" max="10536" width="9.28515625" customWidth="1"/>
    <col min="10537" max="10540" width="2.42578125" customWidth="1"/>
    <col min="10541" max="10550" width="9.28515625" customWidth="1"/>
    <col min="10551" max="10552" width="2.42578125" customWidth="1"/>
    <col min="10553" max="10570" width="9.28515625" customWidth="1"/>
    <col min="10571" max="10752" width="8.7109375"/>
    <col min="10753" max="10754" width="2.42578125" customWidth="1"/>
    <col min="10755" max="10764" width="9.28515625" customWidth="1"/>
    <col min="10765" max="10768" width="2.42578125" customWidth="1"/>
    <col min="10769" max="10778" width="9.28515625" customWidth="1"/>
    <col min="10779" max="10782" width="2.42578125" customWidth="1"/>
    <col min="10783" max="10792" width="9.28515625" customWidth="1"/>
    <col min="10793" max="10796" width="2.42578125" customWidth="1"/>
    <col min="10797" max="10806" width="9.28515625" customWidth="1"/>
    <col min="10807" max="10808" width="2.42578125" customWidth="1"/>
    <col min="10809" max="10826" width="9.28515625" customWidth="1"/>
    <col min="10827" max="11008" width="8.7109375"/>
    <col min="11009" max="11010" width="2.42578125" customWidth="1"/>
    <col min="11011" max="11020" width="9.28515625" customWidth="1"/>
    <col min="11021" max="11024" width="2.42578125" customWidth="1"/>
    <col min="11025" max="11034" width="9.28515625" customWidth="1"/>
    <col min="11035" max="11038" width="2.42578125" customWidth="1"/>
    <col min="11039" max="11048" width="9.28515625" customWidth="1"/>
    <col min="11049" max="11052" width="2.42578125" customWidth="1"/>
    <col min="11053" max="11062" width="9.28515625" customWidth="1"/>
    <col min="11063" max="11064" width="2.42578125" customWidth="1"/>
    <col min="11065" max="11082" width="9.28515625" customWidth="1"/>
    <col min="11083" max="11264" width="8.7109375"/>
    <col min="11265" max="11266" width="2.42578125" customWidth="1"/>
    <col min="11267" max="11276" width="9.28515625" customWidth="1"/>
    <col min="11277" max="11280" width="2.42578125" customWidth="1"/>
    <col min="11281" max="11290" width="9.28515625" customWidth="1"/>
    <col min="11291" max="11294" width="2.42578125" customWidth="1"/>
    <col min="11295" max="11304" width="9.28515625" customWidth="1"/>
    <col min="11305" max="11308" width="2.42578125" customWidth="1"/>
    <col min="11309" max="11318" width="9.28515625" customWidth="1"/>
    <col min="11319" max="11320" width="2.42578125" customWidth="1"/>
    <col min="11321" max="11338" width="9.28515625" customWidth="1"/>
    <col min="11339" max="11520" width="8.7109375"/>
    <col min="11521" max="11522" width="2.42578125" customWidth="1"/>
    <col min="11523" max="11532" width="9.28515625" customWidth="1"/>
    <col min="11533" max="11536" width="2.42578125" customWidth="1"/>
    <col min="11537" max="11546" width="9.28515625" customWidth="1"/>
    <col min="11547" max="11550" width="2.42578125" customWidth="1"/>
    <col min="11551" max="11560" width="9.28515625" customWidth="1"/>
    <col min="11561" max="11564" width="2.42578125" customWidth="1"/>
    <col min="11565" max="11574" width="9.28515625" customWidth="1"/>
    <col min="11575" max="11576" width="2.42578125" customWidth="1"/>
    <col min="11577" max="11594" width="9.28515625" customWidth="1"/>
    <col min="11595" max="11776" width="8.7109375"/>
    <col min="11777" max="11778" width="2.42578125" customWidth="1"/>
    <col min="11779" max="11788" width="9.28515625" customWidth="1"/>
    <col min="11789" max="11792" width="2.42578125" customWidth="1"/>
    <col min="11793" max="11802" width="9.28515625" customWidth="1"/>
    <col min="11803" max="11806" width="2.42578125" customWidth="1"/>
    <col min="11807" max="11816" width="9.28515625" customWidth="1"/>
    <col min="11817" max="11820" width="2.42578125" customWidth="1"/>
    <col min="11821" max="11830" width="9.28515625" customWidth="1"/>
    <col min="11831" max="11832" width="2.42578125" customWidth="1"/>
    <col min="11833" max="11850" width="9.28515625" customWidth="1"/>
    <col min="11851" max="12032" width="8.7109375"/>
    <col min="12033" max="12034" width="2.42578125" customWidth="1"/>
    <col min="12035" max="12044" width="9.28515625" customWidth="1"/>
    <col min="12045" max="12048" width="2.42578125" customWidth="1"/>
    <col min="12049" max="12058" width="9.28515625" customWidth="1"/>
    <col min="12059" max="12062" width="2.42578125" customWidth="1"/>
    <col min="12063" max="12072" width="9.28515625" customWidth="1"/>
    <col min="12073" max="12076" width="2.42578125" customWidth="1"/>
    <col min="12077" max="12086" width="9.28515625" customWidth="1"/>
    <col min="12087" max="12088" width="2.42578125" customWidth="1"/>
    <col min="12089" max="12106" width="9.28515625" customWidth="1"/>
    <col min="12107" max="12288" width="8.7109375"/>
    <col min="12289" max="12290" width="2.42578125" customWidth="1"/>
    <col min="12291" max="12300" width="9.28515625" customWidth="1"/>
    <col min="12301" max="12304" width="2.42578125" customWidth="1"/>
    <col min="12305" max="12314" width="9.28515625" customWidth="1"/>
    <col min="12315" max="12318" width="2.42578125" customWidth="1"/>
    <col min="12319" max="12328" width="9.28515625" customWidth="1"/>
    <col min="12329" max="12332" width="2.42578125" customWidth="1"/>
    <col min="12333" max="12342" width="9.28515625" customWidth="1"/>
    <col min="12343" max="12344" width="2.42578125" customWidth="1"/>
    <col min="12345" max="12362" width="9.28515625" customWidth="1"/>
    <col min="12363" max="12544" width="8.7109375"/>
    <col min="12545" max="12546" width="2.42578125" customWidth="1"/>
    <col min="12547" max="12556" width="9.28515625" customWidth="1"/>
    <col min="12557" max="12560" width="2.42578125" customWidth="1"/>
    <col min="12561" max="12570" width="9.28515625" customWidth="1"/>
    <col min="12571" max="12574" width="2.42578125" customWidth="1"/>
    <col min="12575" max="12584" width="9.28515625" customWidth="1"/>
    <col min="12585" max="12588" width="2.42578125" customWidth="1"/>
    <col min="12589" max="12598" width="9.28515625" customWidth="1"/>
    <col min="12599" max="12600" width="2.42578125" customWidth="1"/>
    <col min="12601" max="12618" width="9.28515625" customWidth="1"/>
    <col min="12619" max="12800" width="8.7109375"/>
    <col min="12801" max="12802" width="2.42578125" customWidth="1"/>
    <col min="12803" max="12812" width="9.28515625" customWidth="1"/>
    <col min="12813" max="12816" width="2.42578125" customWidth="1"/>
    <col min="12817" max="12826" width="9.28515625" customWidth="1"/>
    <col min="12827" max="12830" width="2.42578125" customWidth="1"/>
    <col min="12831" max="12840" width="9.28515625" customWidth="1"/>
    <col min="12841" max="12844" width="2.42578125" customWidth="1"/>
    <col min="12845" max="12854" width="9.28515625" customWidth="1"/>
    <col min="12855" max="12856" width="2.42578125" customWidth="1"/>
    <col min="12857" max="12874" width="9.28515625" customWidth="1"/>
    <col min="12875" max="13056" width="8.7109375"/>
    <col min="13057" max="13058" width="2.42578125" customWidth="1"/>
    <col min="13059" max="13068" width="9.28515625" customWidth="1"/>
    <col min="13069" max="13072" width="2.42578125" customWidth="1"/>
    <col min="13073" max="13082" width="9.28515625" customWidth="1"/>
    <col min="13083" max="13086" width="2.42578125" customWidth="1"/>
    <col min="13087" max="13096" width="9.28515625" customWidth="1"/>
    <col min="13097" max="13100" width="2.42578125" customWidth="1"/>
    <col min="13101" max="13110" width="9.28515625" customWidth="1"/>
    <col min="13111" max="13112" width="2.42578125" customWidth="1"/>
    <col min="13113" max="13130" width="9.28515625" customWidth="1"/>
    <col min="13131" max="13312" width="8.7109375"/>
    <col min="13313" max="13314" width="2.42578125" customWidth="1"/>
    <col min="13315" max="13324" width="9.28515625" customWidth="1"/>
    <col min="13325" max="13328" width="2.42578125" customWidth="1"/>
    <col min="13329" max="13338" width="9.28515625" customWidth="1"/>
    <col min="13339" max="13342" width="2.42578125" customWidth="1"/>
    <col min="13343" max="13352" width="9.28515625" customWidth="1"/>
    <col min="13353" max="13356" width="2.42578125" customWidth="1"/>
    <col min="13357" max="13366" width="9.28515625" customWidth="1"/>
    <col min="13367" max="13368" width="2.42578125" customWidth="1"/>
    <col min="13369" max="13386" width="9.28515625" customWidth="1"/>
    <col min="13387" max="13568" width="8.7109375"/>
    <col min="13569" max="13570" width="2.42578125" customWidth="1"/>
    <col min="13571" max="13580" width="9.28515625" customWidth="1"/>
    <col min="13581" max="13584" width="2.42578125" customWidth="1"/>
    <col min="13585" max="13594" width="9.28515625" customWidth="1"/>
    <col min="13595" max="13598" width="2.42578125" customWidth="1"/>
    <col min="13599" max="13608" width="9.28515625" customWidth="1"/>
    <col min="13609" max="13612" width="2.42578125" customWidth="1"/>
    <col min="13613" max="13622" width="9.28515625" customWidth="1"/>
    <col min="13623" max="13624" width="2.42578125" customWidth="1"/>
    <col min="13625" max="13642" width="9.28515625" customWidth="1"/>
    <col min="13643" max="13824" width="8.7109375"/>
    <col min="13825" max="13826" width="2.42578125" customWidth="1"/>
    <col min="13827" max="13836" width="9.28515625" customWidth="1"/>
    <col min="13837" max="13840" width="2.42578125" customWidth="1"/>
    <col min="13841" max="13850" width="9.28515625" customWidth="1"/>
    <col min="13851" max="13854" width="2.42578125" customWidth="1"/>
    <col min="13855" max="13864" width="9.28515625" customWidth="1"/>
    <col min="13865" max="13868" width="2.42578125" customWidth="1"/>
    <col min="13869" max="13878" width="9.28515625" customWidth="1"/>
    <col min="13879" max="13880" width="2.42578125" customWidth="1"/>
    <col min="13881" max="13898" width="9.28515625" customWidth="1"/>
    <col min="13899" max="14080" width="8.7109375"/>
    <col min="14081" max="14082" width="2.42578125" customWidth="1"/>
    <col min="14083" max="14092" width="9.28515625" customWidth="1"/>
    <col min="14093" max="14096" width="2.42578125" customWidth="1"/>
    <col min="14097" max="14106" width="9.28515625" customWidth="1"/>
    <col min="14107" max="14110" width="2.42578125" customWidth="1"/>
    <col min="14111" max="14120" width="9.28515625" customWidth="1"/>
    <col min="14121" max="14124" width="2.42578125" customWidth="1"/>
    <col min="14125" max="14134" width="9.28515625" customWidth="1"/>
    <col min="14135" max="14136" width="2.42578125" customWidth="1"/>
    <col min="14137" max="14154" width="9.28515625" customWidth="1"/>
    <col min="14155" max="14336" width="8.7109375"/>
    <col min="14337" max="14338" width="2.42578125" customWidth="1"/>
    <col min="14339" max="14348" width="9.28515625" customWidth="1"/>
    <col min="14349" max="14352" width="2.42578125" customWidth="1"/>
    <col min="14353" max="14362" width="9.28515625" customWidth="1"/>
    <col min="14363" max="14366" width="2.42578125" customWidth="1"/>
    <col min="14367" max="14376" width="9.28515625" customWidth="1"/>
    <col min="14377" max="14380" width="2.42578125" customWidth="1"/>
    <col min="14381" max="14390" width="9.28515625" customWidth="1"/>
    <col min="14391" max="14392" width="2.42578125" customWidth="1"/>
    <col min="14393" max="14410" width="9.28515625" customWidth="1"/>
    <col min="14411" max="14592" width="8.7109375"/>
    <col min="14593" max="14594" width="2.42578125" customWidth="1"/>
    <col min="14595" max="14604" width="9.28515625" customWidth="1"/>
    <col min="14605" max="14608" width="2.42578125" customWidth="1"/>
    <col min="14609" max="14618" width="9.28515625" customWidth="1"/>
    <col min="14619" max="14622" width="2.42578125" customWidth="1"/>
    <col min="14623" max="14632" width="9.28515625" customWidth="1"/>
    <col min="14633" max="14636" width="2.42578125" customWidth="1"/>
    <col min="14637" max="14646" width="9.28515625" customWidth="1"/>
    <col min="14647" max="14648" width="2.42578125" customWidth="1"/>
    <col min="14649" max="14666" width="9.28515625" customWidth="1"/>
    <col min="14667" max="14848" width="8.7109375"/>
    <col min="14849" max="14850" width="2.42578125" customWidth="1"/>
    <col min="14851" max="14860" width="9.28515625" customWidth="1"/>
    <col min="14861" max="14864" width="2.42578125" customWidth="1"/>
    <col min="14865" max="14874" width="9.28515625" customWidth="1"/>
    <col min="14875" max="14878" width="2.42578125" customWidth="1"/>
    <col min="14879" max="14888" width="9.28515625" customWidth="1"/>
    <col min="14889" max="14892" width="2.42578125" customWidth="1"/>
    <col min="14893" max="14902" width="9.28515625" customWidth="1"/>
    <col min="14903" max="14904" width="2.42578125" customWidth="1"/>
    <col min="14905" max="14922" width="9.28515625" customWidth="1"/>
    <col min="14923" max="15104" width="8.7109375"/>
    <col min="15105" max="15106" width="2.42578125" customWidth="1"/>
    <col min="15107" max="15116" width="9.28515625" customWidth="1"/>
    <col min="15117" max="15120" width="2.42578125" customWidth="1"/>
    <col min="15121" max="15130" width="9.28515625" customWidth="1"/>
    <col min="15131" max="15134" width="2.42578125" customWidth="1"/>
    <col min="15135" max="15144" width="9.28515625" customWidth="1"/>
    <col min="15145" max="15148" width="2.42578125" customWidth="1"/>
    <col min="15149" max="15158" width="9.28515625" customWidth="1"/>
    <col min="15159" max="15160" width="2.42578125" customWidth="1"/>
    <col min="15161" max="15178" width="9.28515625" customWidth="1"/>
    <col min="15179" max="15360" width="8.7109375"/>
    <col min="15361" max="15362" width="2.42578125" customWidth="1"/>
    <col min="15363" max="15372" width="9.28515625" customWidth="1"/>
    <col min="15373" max="15376" width="2.42578125" customWidth="1"/>
    <col min="15377" max="15386" width="9.28515625" customWidth="1"/>
    <col min="15387" max="15390" width="2.42578125" customWidth="1"/>
    <col min="15391" max="15400" width="9.28515625" customWidth="1"/>
    <col min="15401" max="15404" width="2.42578125" customWidth="1"/>
    <col min="15405" max="15414" width="9.28515625" customWidth="1"/>
    <col min="15415" max="15416" width="2.42578125" customWidth="1"/>
    <col min="15417" max="15434" width="9.28515625" customWidth="1"/>
    <col min="15435" max="15616" width="8.7109375"/>
    <col min="15617" max="15618" width="2.42578125" customWidth="1"/>
    <col min="15619" max="15628" width="9.28515625" customWidth="1"/>
    <col min="15629" max="15632" width="2.42578125" customWidth="1"/>
    <col min="15633" max="15642" width="9.28515625" customWidth="1"/>
    <col min="15643" max="15646" width="2.42578125" customWidth="1"/>
    <col min="15647" max="15656" width="9.28515625" customWidth="1"/>
    <col min="15657" max="15660" width="2.42578125" customWidth="1"/>
    <col min="15661" max="15670" width="9.28515625" customWidth="1"/>
    <col min="15671" max="15672" width="2.42578125" customWidth="1"/>
    <col min="15673" max="15690" width="9.28515625" customWidth="1"/>
    <col min="15691" max="15872" width="8.7109375"/>
    <col min="15873" max="15874" width="2.42578125" customWidth="1"/>
    <col min="15875" max="15884" width="9.28515625" customWidth="1"/>
    <col min="15885" max="15888" width="2.42578125" customWidth="1"/>
    <col min="15889" max="15898" width="9.28515625" customWidth="1"/>
    <col min="15899" max="15902" width="2.42578125" customWidth="1"/>
    <col min="15903" max="15912" width="9.28515625" customWidth="1"/>
    <col min="15913" max="15916" width="2.42578125" customWidth="1"/>
    <col min="15917" max="15926" width="9.28515625" customWidth="1"/>
    <col min="15927" max="15928" width="2.42578125" customWidth="1"/>
    <col min="15929" max="15946" width="9.28515625" customWidth="1"/>
    <col min="15947" max="16128" width="8.7109375"/>
    <col min="16129" max="16130" width="2.42578125" customWidth="1"/>
    <col min="16131" max="16140" width="9.28515625" customWidth="1"/>
    <col min="16141" max="16144" width="2.42578125" customWidth="1"/>
    <col min="16145" max="16154" width="9.28515625" customWidth="1"/>
    <col min="16155" max="16158" width="2.42578125" customWidth="1"/>
    <col min="16159" max="16168" width="9.28515625" customWidth="1"/>
    <col min="16169" max="16172" width="2.42578125" customWidth="1"/>
    <col min="16173" max="16182" width="9.28515625" customWidth="1"/>
    <col min="16183" max="16184" width="2.42578125" customWidth="1"/>
    <col min="16185" max="16202" width="9.28515625" customWidth="1"/>
    <col min="16203" max="16384" width="8.7109375"/>
  </cols>
  <sheetData>
    <row r="1" spans="1:55" ht="24.6" customHeight="1">
      <c r="A1" s="163"/>
      <c r="B1" s="163"/>
      <c r="C1" s="20" t="s">
        <v>305</v>
      </c>
      <c r="D1" s="164" t="str">
        <f>CONTENTS!B2</f>
        <v>Petroleum and Gas Estimated Rehabilitation Cost Calculator</v>
      </c>
      <c r="E1" s="163"/>
      <c r="F1" s="163"/>
      <c r="G1" s="163"/>
      <c r="H1" s="163"/>
      <c r="I1" s="163"/>
      <c r="J1" s="163"/>
      <c r="K1" s="163"/>
      <c r="L1" s="163"/>
      <c r="M1" s="163"/>
      <c r="O1" s="163"/>
      <c r="P1" s="163"/>
      <c r="Q1" s="163"/>
      <c r="R1" s="163"/>
      <c r="S1" s="163"/>
      <c r="T1" s="163"/>
      <c r="U1" s="163"/>
      <c r="V1" s="163"/>
      <c r="W1" s="163"/>
      <c r="X1" s="163"/>
      <c r="Y1" s="163"/>
      <c r="Z1" s="163"/>
      <c r="AA1" s="163"/>
      <c r="AD1" s="163"/>
      <c r="AE1" s="163"/>
      <c r="AF1" s="163"/>
      <c r="AG1" s="163"/>
      <c r="AH1" s="163"/>
      <c r="AI1" s="163"/>
      <c r="AJ1" s="163"/>
      <c r="AK1" s="163"/>
      <c r="AL1" s="163"/>
      <c r="AM1" s="163"/>
      <c r="AN1" s="163"/>
      <c r="AO1" s="163"/>
      <c r="AR1" s="163"/>
      <c r="AS1" s="163"/>
      <c r="AT1" s="163"/>
      <c r="AU1" s="163"/>
      <c r="AV1" s="163"/>
      <c r="AW1" s="163"/>
      <c r="AX1" s="163"/>
      <c r="AY1" s="163"/>
      <c r="AZ1" s="163"/>
      <c r="BA1" s="163"/>
      <c r="BB1" s="163"/>
      <c r="BC1" s="163"/>
    </row>
    <row r="2" spans="1:55" ht="12.75">
      <c r="A2" s="163"/>
      <c r="B2" s="166"/>
      <c r="C2" s="163"/>
      <c r="D2" s="163"/>
      <c r="E2" s="167"/>
      <c r="F2" s="167"/>
      <c r="G2" s="167"/>
      <c r="H2" s="167"/>
      <c r="I2" s="167"/>
      <c r="J2" s="167"/>
      <c r="K2" s="167"/>
      <c r="L2" s="167"/>
      <c r="M2" s="168"/>
      <c r="O2" s="163"/>
      <c r="P2" s="166"/>
      <c r="Q2" s="167"/>
      <c r="R2" s="167"/>
      <c r="S2" s="167"/>
      <c r="T2" s="167"/>
      <c r="U2" s="167"/>
      <c r="V2" s="167"/>
      <c r="W2" s="167"/>
      <c r="X2" s="167"/>
      <c r="Y2" s="167"/>
      <c r="Z2" s="167"/>
      <c r="AA2" s="168"/>
      <c r="AD2" s="166"/>
      <c r="AE2" s="167"/>
      <c r="AF2" s="167"/>
      <c r="AG2" s="167"/>
      <c r="AH2" s="167"/>
      <c r="AI2" s="167"/>
      <c r="AJ2" s="167"/>
      <c r="AK2" s="167"/>
      <c r="AL2" s="167"/>
      <c r="AM2" s="167"/>
      <c r="AN2" s="167"/>
      <c r="AO2" s="168"/>
      <c r="AR2" s="166"/>
      <c r="AS2" s="167"/>
      <c r="AT2" s="167"/>
      <c r="AU2" s="167"/>
      <c r="AV2" s="167"/>
      <c r="AW2" s="167"/>
      <c r="AX2" s="167"/>
      <c r="AY2" s="167"/>
      <c r="AZ2" s="167"/>
      <c r="BA2" s="167"/>
      <c r="BB2" s="167"/>
      <c r="BC2" s="168"/>
    </row>
    <row r="3" spans="1:55" ht="45" customHeight="1">
      <c r="A3" s="163"/>
      <c r="B3" s="169"/>
      <c r="D3" s="171"/>
      <c r="E3" s="171"/>
      <c r="F3" s="171"/>
      <c r="G3" s="171"/>
      <c r="H3" s="171"/>
      <c r="I3" s="171"/>
      <c r="J3" s="171"/>
      <c r="K3" s="171"/>
      <c r="L3" s="171"/>
      <c r="M3" s="172"/>
      <c r="O3" s="163"/>
      <c r="P3" s="169"/>
      <c r="Q3" s="170" t="s">
        <v>306</v>
      </c>
      <c r="R3" s="171"/>
      <c r="S3" s="171"/>
      <c r="T3" s="171"/>
      <c r="U3" s="171"/>
      <c r="V3" s="171"/>
      <c r="W3" s="171"/>
      <c r="X3" s="171"/>
      <c r="Y3" s="171"/>
      <c r="Z3" s="171"/>
      <c r="AA3" s="172"/>
      <c r="AD3" s="169"/>
      <c r="AE3" s="170" t="s">
        <v>306</v>
      </c>
      <c r="AF3" s="171"/>
      <c r="AG3" s="171"/>
      <c r="AH3" s="171"/>
      <c r="AI3" s="171"/>
      <c r="AJ3" s="171"/>
      <c r="AK3" s="171"/>
      <c r="AL3" s="171"/>
      <c r="AM3" s="171"/>
      <c r="AN3" s="171"/>
      <c r="AO3" s="172"/>
      <c r="AR3" s="169"/>
      <c r="AS3" s="170" t="s">
        <v>306</v>
      </c>
      <c r="AT3" s="171"/>
      <c r="AU3" s="171"/>
      <c r="AV3" s="171"/>
      <c r="AW3" s="171"/>
      <c r="AX3" s="171"/>
      <c r="AY3" s="171"/>
      <c r="AZ3" s="171"/>
      <c r="BA3" s="171"/>
      <c r="BB3" s="171"/>
      <c r="BC3" s="172"/>
    </row>
    <row r="4" spans="1:55" ht="12.75">
      <c r="A4" s="163"/>
      <c r="B4" s="169"/>
      <c r="C4" s="163"/>
      <c r="D4" s="163"/>
      <c r="E4" s="163"/>
      <c r="F4" s="163"/>
      <c r="G4" s="163"/>
      <c r="H4" s="163"/>
      <c r="I4" s="163"/>
      <c r="J4" s="163"/>
      <c r="K4" s="163"/>
      <c r="L4" s="163"/>
      <c r="M4" s="172"/>
      <c r="O4" s="163"/>
      <c r="P4" s="169"/>
      <c r="Q4" s="163"/>
      <c r="R4" s="163"/>
      <c r="S4" s="163"/>
      <c r="T4" s="163"/>
      <c r="U4" s="163"/>
      <c r="V4" s="163"/>
      <c r="W4" s="163"/>
      <c r="X4" s="163"/>
      <c r="Y4" s="163"/>
      <c r="Z4" s="163"/>
      <c r="AA4" s="172"/>
      <c r="AD4" s="169"/>
      <c r="AE4" s="163"/>
      <c r="AF4" s="163"/>
      <c r="AG4" s="163"/>
      <c r="AH4" s="163"/>
      <c r="AI4" s="163"/>
      <c r="AJ4" s="163"/>
      <c r="AK4" s="163"/>
      <c r="AL4" s="163"/>
      <c r="AM4" s="163"/>
      <c r="AN4" s="163"/>
      <c r="AO4" s="172"/>
      <c r="AR4" s="169"/>
      <c r="AS4" s="163"/>
      <c r="AT4" s="163"/>
      <c r="AU4" s="163"/>
      <c r="AV4" s="163"/>
      <c r="AW4" s="163"/>
      <c r="AX4" s="163"/>
      <c r="AY4" s="163"/>
      <c r="AZ4" s="163"/>
      <c r="BA4" s="163"/>
      <c r="BB4" s="163"/>
      <c r="BC4" s="172"/>
    </row>
    <row r="5" spans="1:55" ht="12.75">
      <c r="A5" s="163"/>
      <c r="B5" s="169"/>
      <c r="C5" s="163"/>
      <c r="D5" s="163"/>
      <c r="E5" s="163"/>
      <c r="F5" s="163"/>
      <c r="G5" s="163"/>
      <c r="H5" s="163"/>
      <c r="I5" s="163"/>
      <c r="J5" s="163"/>
      <c r="K5" s="163"/>
      <c r="L5" s="163"/>
      <c r="M5" s="172"/>
      <c r="O5" s="163"/>
      <c r="P5" s="169"/>
      <c r="Q5" s="163"/>
      <c r="R5" s="163"/>
      <c r="S5" s="163"/>
      <c r="T5" s="163"/>
      <c r="U5" s="163"/>
      <c r="V5" s="163"/>
      <c r="W5" s="163"/>
      <c r="X5" s="163"/>
      <c r="Y5" s="163"/>
      <c r="Z5" s="163"/>
      <c r="AA5" s="172"/>
      <c r="AD5" s="169"/>
      <c r="AE5" s="163"/>
      <c r="AF5" s="163"/>
      <c r="AG5" s="163"/>
      <c r="AH5" s="163"/>
      <c r="AI5" s="163"/>
      <c r="AJ5" s="163"/>
      <c r="AK5" s="163"/>
      <c r="AL5" s="163"/>
      <c r="AM5" s="163"/>
      <c r="AN5" s="163"/>
      <c r="AO5" s="172"/>
      <c r="AR5" s="169"/>
      <c r="AS5" s="163"/>
      <c r="AT5" s="163"/>
      <c r="AU5" s="163"/>
      <c r="AV5" s="163"/>
      <c r="AW5" s="163"/>
      <c r="AX5" s="163"/>
      <c r="AY5" s="163"/>
      <c r="AZ5" s="163"/>
      <c r="BA5" s="163"/>
      <c r="BB5" s="163"/>
      <c r="BC5" s="172"/>
    </row>
    <row r="6" spans="1:55" ht="12.75">
      <c r="A6" s="163"/>
      <c r="B6" s="169"/>
      <c r="C6" s="163"/>
      <c r="D6" s="163"/>
      <c r="E6" s="163"/>
      <c r="F6" s="163"/>
      <c r="G6" s="163"/>
      <c r="H6" s="163"/>
      <c r="I6" s="163"/>
      <c r="J6" s="163"/>
      <c r="K6" s="163"/>
      <c r="L6" s="163"/>
      <c r="M6" s="172"/>
      <c r="O6" s="163"/>
      <c r="P6" s="169"/>
      <c r="Q6" s="163"/>
      <c r="R6" s="163"/>
      <c r="S6" s="163"/>
      <c r="T6" s="163"/>
      <c r="U6" s="163"/>
      <c r="V6" s="163"/>
      <c r="W6" s="163"/>
      <c r="X6" s="163"/>
      <c r="Y6" s="163"/>
      <c r="Z6" s="163"/>
      <c r="AA6" s="172"/>
      <c r="AD6" s="169"/>
      <c r="AE6" s="163"/>
      <c r="AF6" s="163"/>
      <c r="AG6" s="163"/>
      <c r="AH6" s="163"/>
      <c r="AI6" s="163"/>
      <c r="AJ6" s="163"/>
      <c r="AK6" s="163"/>
      <c r="AL6" s="163"/>
      <c r="AM6" s="163"/>
      <c r="AN6" s="163"/>
      <c r="AO6" s="172"/>
      <c r="AR6" s="169"/>
      <c r="AS6" s="163"/>
      <c r="AT6" s="163"/>
      <c r="AU6" s="163"/>
      <c r="AV6" s="163"/>
      <c r="AW6" s="163"/>
      <c r="AX6" s="163"/>
      <c r="AY6" s="163"/>
      <c r="AZ6" s="163"/>
      <c r="BA6" s="163"/>
      <c r="BB6" s="163"/>
      <c r="BC6" s="172"/>
    </row>
    <row r="7" spans="1:55" ht="18">
      <c r="A7" s="163"/>
      <c r="B7" s="169"/>
      <c r="C7" s="170" t="s">
        <v>306</v>
      </c>
      <c r="D7" s="163"/>
      <c r="E7" s="163"/>
      <c r="F7" s="163"/>
      <c r="G7" s="163"/>
      <c r="H7" s="163"/>
      <c r="I7" s="163"/>
      <c r="J7" s="163"/>
      <c r="K7" s="163"/>
      <c r="L7" s="163"/>
      <c r="M7" s="172"/>
      <c r="O7" s="163"/>
      <c r="P7" s="169"/>
      <c r="Q7" s="163"/>
      <c r="R7" s="163"/>
      <c r="S7" s="163"/>
      <c r="T7" s="163"/>
      <c r="U7" s="163"/>
      <c r="V7" s="163"/>
      <c r="W7" s="163"/>
      <c r="X7" s="163"/>
      <c r="Y7" s="163"/>
      <c r="Z7" s="163"/>
      <c r="AA7" s="172"/>
      <c r="AD7" s="169"/>
      <c r="AE7" s="163"/>
      <c r="AF7" s="163"/>
      <c r="AG7" s="163"/>
      <c r="AH7" s="163"/>
      <c r="AI7" s="163"/>
      <c r="AJ7" s="163"/>
      <c r="AK7" s="163"/>
      <c r="AL7" s="163"/>
      <c r="AM7" s="163"/>
      <c r="AN7" s="163"/>
      <c r="AO7" s="172"/>
      <c r="AR7" s="169"/>
      <c r="AS7" s="163"/>
      <c r="AT7" s="163"/>
      <c r="AU7" s="163"/>
      <c r="AV7" s="163"/>
      <c r="AW7" s="163"/>
      <c r="AX7" s="163"/>
      <c r="AY7" s="163"/>
      <c r="AZ7" s="163"/>
      <c r="BA7" s="163"/>
      <c r="BB7" s="163"/>
      <c r="BC7" s="172"/>
    </row>
    <row r="8" spans="1:55" ht="12.75">
      <c r="A8" s="163"/>
      <c r="B8" s="169"/>
      <c r="C8" s="173"/>
      <c r="D8" s="163"/>
      <c r="E8" s="174"/>
      <c r="F8" s="174"/>
      <c r="G8" s="174"/>
      <c r="H8" s="174"/>
      <c r="I8" s="174"/>
      <c r="J8" s="174"/>
      <c r="K8" s="174"/>
      <c r="L8" s="174"/>
      <c r="M8" s="172"/>
      <c r="O8" s="163"/>
      <c r="P8" s="169"/>
      <c r="Q8" s="173"/>
      <c r="R8" s="163"/>
      <c r="S8" s="175"/>
      <c r="T8" s="175"/>
      <c r="U8" s="175"/>
      <c r="V8" s="175"/>
      <c r="W8" s="175"/>
      <c r="X8" s="175"/>
      <c r="Y8" s="175"/>
      <c r="Z8" s="175"/>
      <c r="AA8" s="172"/>
      <c r="AD8" s="169"/>
      <c r="AE8" s="173"/>
      <c r="AF8" s="163"/>
      <c r="AG8" s="175"/>
      <c r="AH8" s="175"/>
      <c r="AI8" s="175"/>
      <c r="AJ8" s="175"/>
      <c r="AK8" s="175"/>
      <c r="AL8" s="175"/>
      <c r="AM8" s="175"/>
      <c r="AN8" s="175"/>
      <c r="AO8" s="172"/>
      <c r="AR8" s="169"/>
      <c r="AS8" s="173"/>
      <c r="AT8" s="163"/>
      <c r="AU8" s="175"/>
      <c r="AV8" s="175"/>
      <c r="AW8" s="175"/>
      <c r="AX8" s="175"/>
      <c r="AY8" s="175"/>
      <c r="AZ8" s="175"/>
      <c r="BA8" s="175"/>
      <c r="BB8" s="175"/>
      <c r="BC8" s="172"/>
    </row>
    <row r="9" spans="1:55" ht="12.75">
      <c r="A9" s="163"/>
      <c r="B9" s="169"/>
      <c r="C9" s="173"/>
      <c r="D9" s="163"/>
      <c r="E9" s="163"/>
      <c r="F9" s="163"/>
      <c r="G9" s="163"/>
      <c r="H9" s="163"/>
      <c r="I9" s="163"/>
      <c r="J9" s="163"/>
      <c r="K9" s="163"/>
      <c r="L9" s="163"/>
      <c r="M9" s="172"/>
      <c r="O9" s="163"/>
      <c r="P9" s="169"/>
      <c r="Q9" s="173"/>
      <c r="R9" s="163"/>
      <c r="S9" s="163"/>
      <c r="T9" s="163"/>
      <c r="U9" s="163"/>
      <c r="V9" s="163"/>
      <c r="W9" s="163"/>
      <c r="X9" s="163"/>
      <c r="Y9" s="163"/>
      <c r="Z9" s="163"/>
      <c r="AA9" s="172"/>
      <c r="AD9" s="169"/>
      <c r="AE9" s="173"/>
      <c r="AF9" s="163"/>
      <c r="AG9" s="163"/>
      <c r="AH9" s="163"/>
      <c r="AI9" s="163"/>
      <c r="AJ9" s="163"/>
      <c r="AK9" s="163"/>
      <c r="AL9" s="163"/>
      <c r="AM9" s="163"/>
      <c r="AN9" s="163"/>
      <c r="AO9" s="172"/>
      <c r="AR9" s="169"/>
      <c r="AS9" s="173"/>
      <c r="AT9" s="163"/>
      <c r="AU9" s="163"/>
      <c r="AV9" s="163"/>
      <c r="AW9" s="163"/>
      <c r="AX9" s="163"/>
      <c r="AY9" s="163"/>
      <c r="AZ9" s="163"/>
      <c r="BA9" s="163"/>
      <c r="BB9" s="163"/>
      <c r="BC9" s="172"/>
    </row>
    <row r="10" spans="1:55" ht="12.75">
      <c r="A10" s="163"/>
      <c r="B10" s="169"/>
      <c r="C10" s="173"/>
      <c r="D10" s="163"/>
      <c r="E10" s="174"/>
      <c r="F10" s="174"/>
      <c r="G10" s="174"/>
      <c r="H10" s="174"/>
      <c r="I10" s="174"/>
      <c r="J10" s="174"/>
      <c r="K10" s="174"/>
      <c r="L10" s="174"/>
      <c r="M10" s="172"/>
      <c r="O10" s="163"/>
      <c r="P10" s="169"/>
      <c r="Q10" s="173"/>
      <c r="R10" s="163"/>
      <c r="S10" s="175"/>
      <c r="T10" s="175"/>
      <c r="U10" s="175"/>
      <c r="V10" s="175"/>
      <c r="W10" s="175"/>
      <c r="X10" s="175"/>
      <c r="Y10" s="175"/>
      <c r="Z10" s="175"/>
      <c r="AA10" s="172"/>
      <c r="AD10" s="169"/>
      <c r="AE10" s="173"/>
      <c r="AF10" s="163"/>
      <c r="AG10" s="175"/>
      <c r="AH10" s="175"/>
      <c r="AI10" s="175"/>
      <c r="AJ10" s="175"/>
      <c r="AK10" s="175"/>
      <c r="AL10" s="175"/>
      <c r="AM10" s="175"/>
      <c r="AN10" s="175"/>
      <c r="AO10" s="172"/>
      <c r="AR10" s="169"/>
      <c r="AS10" s="173"/>
      <c r="AT10" s="163"/>
      <c r="AU10" s="175"/>
      <c r="AV10" s="175"/>
      <c r="AW10" s="175"/>
      <c r="AX10" s="175"/>
      <c r="AY10" s="175"/>
      <c r="AZ10" s="175"/>
      <c r="BA10" s="175"/>
      <c r="BB10" s="175"/>
      <c r="BC10" s="172"/>
    </row>
    <row r="11" spans="1:55" ht="12.75">
      <c r="A11" s="163"/>
      <c r="B11" s="169"/>
      <c r="C11" s="173"/>
      <c r="D11" s="163"/>
      <c r="E11" s="163"/>
      <c r="F11" s="163"/>
      <c r="G11" s="163"/>
      <c r="H11" s="163"/>
      <c r="I11" s="163"/>
      <c r="J11" s="163"/>
      <c r="K11" s="163"/>
      <c r="L11" s="163"/>
      <c r="M11" s="172"/>
      <c r="O11" s="163"/>
      <c r="P11" s="169"/>
      <c r="Q11" s="173"/>
      <c r="R11" s="163"/>
      <c r="S11" s="163"/>
      <c r="T11" s="163"/>
      <c r="U11" s="163"/>
      <c r="V11" s="163"/>
      <c r="W11" s="163"/>
      <c r="X11" s="163"/>
      <c r="Y11" s="163"/>
      <c r="Z11" s="163"/>
      <c r="AA11" s="172"/>
      <c r="AD11" s="169"/>
      <c r="AE11" s="173"/>
      <c r="AF11" s="163"/>
      <c r="AG11" s="163"/>
      <c r="AH11" s="163"/>
      <c r="AI11" s="163"/>
      <c r="AJ11" s="163"/>
      <c r="AK11" s="163"/>
      <c r="AL11" s="163"/>
      <c r="AM11" s="163"/>
      <c r="AN11" s="163"/>
      <c r="AO11" s="172"/>
      <c r="AR11" s="169"/>
      <c r="AS11" s="173"/>
      <c r="AT11" s="163"/>
      <c r="AU11" s="163"/>
      <c r="AV11" s="163"/>
      <c r="AW11" s="163"/>
      <c r="AX11" s="163"/>
      <c r="AY11" s="163"/>
      <c r="AZ11" s="163"/>
      <c r="BA11" s="163"/>
      <c r="BB11" s="163"/>
      <c r="BC11" s="172"/>
    </row>
    <row r="12" spans="1:55" ht="12.75">
      <c r="A12" s="163"/>
      <c r="B12" s="169"/>
      <c r="C12" s="173"/>
      <c r="D12" s="163"/>
      <c r="E12" s="174"/>
      <c r="F12" s="174"/>
      <c r="G12" s="174"/>
      <c r="H12" s="174"/>
      <c r="I12" s="174"/>
      <c r="J12" s="174"/>
      <c r="K12" s="174"/>
      <c r="L12" s="174"/>
      <c r="M12" s="172"/>
      <c r="O12" s="163"/>
      <c r="P12" s="169"/>
      <c r="Q12" s="173"/>
      <c r="R12" s="163"/>
      <c r="S12" s="175"/>
      <c r="T12" s="175"/>
      <c r="U12" s="175"/>
      <c r="V12" s="175"/>
      <c r="W12" s="175"/>
      <c r="X12" s="175"/>
      <c r="Y12" s="175"/>
      <c r="Z12" s="175"/>
      <c r="AA12" s="172"/>
      <c r="AD12" s="169"/>
      <c r="AE12" s="173"/>
      <c r="AF12" s="163"/>
      <c r="AG12" s="175"/>
      <c r="AH12" s="175"/>
      <c r="AI12" s="175"/>
      <c r="AJ12" s="175"/>
      <c r="AK12" s="175"/>
      <c r="AL12" s="175"/>
      <c r="AM12" s="175"/>
      <c r="AN12" s="175"/>
      <c r="AO12" s="172"/>
      <c r="AR12" s="169"/>
      <c r="AS12" s="173"/>
      <c r="AT12" s="163"/>
      <c r="AU12" s="175"/>
      <c r="AV12" s="175"/>
      <c r="AW12" s="175"/>
      <c r="AX12" s="175"/>
      <c r="AY12" s="175"/>
      <c r="AZ12" s="175"/>
      <c r="BA12" s="175"/>
      <c r="BB12" s="175"/>
      <c r="BC12" s="172"/>
    </row>
    <row r="13" spans="1:55" ht="12.75">
      <c r="A13" s="163"/>
      <c r="B13" s="169"/>
      <c r="C13" s="173"/>
      <c r="D13" s="163"/>
      <c r="E13" s="163"/>
      <c r="F13" s="163"/>
      <c r="G13" s="163"/>
      <c r="H13" s="163"/>
      <c r="I13" s="163"/>
      <c r="J13" s="163"/>
      <c r="K13" s="163"/>
      <c r="L13" s="163"/>
      <c r="M13" s="172"/>
      <c r="O13" s="163"/>
      <c r="P13" s="169"/>
      <c r="Q13" s="173"/>
      <c r="R13" s="163"/>
      <c r="S13" s="163"/>
      <c r="T13" s="163"/>
      <c r="U13" s="163"/>
      <c r="V13" s="163"/>
      <c r="W13" s="163"/>
      <c r="X13" s="163"/>
      <c r="Y13" s="163"/>
      <c r="Z13" s="163"/>
      <c r="AA13" s="172"/>
      <c r="AD13" s="169"/>
      <c r="AE13" s="173"/>
      <c r="AF13" s="163"/>
      <c r="AG13" s="163"/>
      <c r="AH13" s="163"/>
      <c r="AI13" s="163"/>
      <c r="AJ13" s="163"/>
      <c r="AK13" s="163"/>
      <c r="AL13" s="163"/>
      <c r="AM13" s="163"/>
      <c r="AN13" s="163"/>
      <c r="AO13" s="172"/>
      <c r="AR13" s="169"/>
      <c r="AS13" s="173"/>
      <c r="AT13" s="163"/>
      <c r="AU13" s="163"/>
      <c r="AV13" s="163"/>
      <c r="AW13" s="163"/>
      <c r="AX13" s="163"/>
      <c r="AY13" s="163"/>
      <c r="AZ13" s="163"/>
      <c r="BA13" s="163"/>
      <c r="BB13" s="163"/>
      <c r="BC13" s="172"/>
    </row>
    <row r="14" spans="1:55" ht="12.75">
      <c r="A14" s="163"/>
      <c r="B14" s="169"/>
      <c r="C14" s="173"/>
      <c r="D14" s="163"/>
      <c r="E14" s="174"/>
      <c r="F14" s="174"/>
      <c r="G14" s="174"/>
      <c r="H14" s="174"/>
      <c r="I14" s="174"/>
      <c r="J14" s="174"/>
      <c r="K14" s="174"/>
      <c r="L14" s="174"/>
      <c r="M14" s="172"/>
      <c r="O14" s="163"/>
      <c r="P14" s="169"/>
      <c r="Q14" s="173"/>
      <c r="R14" s="163"/>
      <c r="S14" s="175"/>
      <c r="T14" s="175"/>
      <c r="U14" s="175"/>
      <c r="V14" s="175"/>
      <c r="W14" s="175"/>
      <c r="X14" s="175"/>
      <c r="Y14" s="175"/>
      <c r="Z14" s="175"/>
      <c r="AA14" s="172"/>
      <c r="AD14" s="169"/>
      <c r="AE14" s="173"/>
      <c r="AF14" s="163"/>
      <c r="AG14" s="175"/>
      <c r="AH14" s="175"/>
      <c r="AI14" s="175"/>
      <c r="AJ14" s="175"/>
      <c r="AK14" s="175"/>
      <c r="AL14" s="175"/>
      <c r="AM14" s="175"/>
      <c r="AN14" s="175"/>
      <c r="AO14" s="172"/>
      <c r="AR14" s="169"/>
      <c r="AS14" s="173"/>
      <c r="AT14" s="163"/>
      <c r="AU14" s="175"/>
      <c r="AV14" s="175"/>
      <c r="AW14" s="175"/>
      <c r="AX14" s="175"/>
      <c r="AY14" s="175"/>
      <c r="AZ14" s="175"/>
      <c r="BA14" s="175"/>
      <c r="BB14" s="175"/>
      <c r="BC14" s="172"/>
    </row>
    <row r="15" spans="1:55" ht="12.75">
      <c r="A15" s="163"/>
      <c r="B15" s="169"/>
      <c r="C15" s="173"/>
      <c r="D15" s="163"/>
      <c r="E15" s="163"/>
      <c r="F15" s="163"/>
      <c r="G15" s="163"/>
      <c r="H15" s="163"/>
      <c r="I15" s="163"/>
      <c r="J15" s="163"/>
      <c r="K15" s="163"/>
      <c r="L15" s="163"/>
      <c r="M15" s="172"/>
      <c r="O15" s="163"/>
      <c r="P15" s="169"/>
      <c r="Q15" s="173"/>
      <c r="R15" s="163"/>
      <c r="S15" s="163"/>
      <c r="T15" s="163"/>
      <c r="U15" s="163"/>
      <c r="V15" s="163"/>
      <c r="W15" s="163"/>
      <c r="X15" s="163"/>
      <c r="Y15" s="163"/>
      <c r="Z15" s="163"/>
      <c r="AA15" s="172"/>
      <c r="AD15" s="169"/>
      <c r="AE15" s="173"/>
      <c r="AF15" s="163"/>
      <c r="AG15" s="163"/>
      <c r="AH15" s="163"/>
      <c r="AI15" s="163"/>
      <c r="AJ15" s="163"/>
      <c r="AK15" s="163"/>
      <c r="AL15" s="163"/>
      <c r="AM15" s="163"/>
      <c r="AN15" s="163"/>
      <c r="AO15" s="172"/>
      <c r="AR15" s="169"/>
      <c r="AS15" s="173"/>
      <c r="AT15" s="163"/>
      <c r="AU15" s="163"/>
      <c r="AV15" s="163"/>
      <c r="AW15" s="163"/>
      <c r="AX15" s="163"/>
      <c r="AY15" s="163"/>
      <c r="AZ15" s="163"/>
      <c r="BA15" s="163"/>
      <c r="BB15" s="163"/>
      <c r="BC15" s="172"/>
    </row>
    <row r="16" spans="1:55" ht="12.75">
      <c r="A16" s="163"/>
      <c r="B16" s="169"/>
      <c r="C16" s="173"/>
      <c r="D16" s="163"/>
      <c r="E16" s="10"/>
      <c r="F16" s="11"/>
      <c r="G16" s="173"/>
      <c r="H16" s="163"/>
      <c r="I16" s="163"/>
      <c r="J16" s="163"/>
      <c r="K16" s="12"/>
      <c r="L16" s="163"/>
      <c r="M16" s="172"/>
      <c r="O16" s="163"/>
      <c r="P16" s="169"/>
      <c r="Q16" s="173"/>
      <c r="R16" s="163"/>
      <c r="S16" s="13"/>
      <c r="T16" s="13"/>
      <c r="U16" s="176"/>
      <c r="V16" s="176"/>
      <c r="W16" s="176"/>
      <c r="X16" s="176"/>
      <c r="Y16" s="14"/>
      <c r="Z16" s="14"/>
      <c r="AA16" s="172"/>
      <c r="AD16" s="169"/>
      <c r="AE16" s="173"/>
      <c r="AF16" s="163"/>
      <c r="AG16" s="13"/>
      <c r="AH16" s="13"/>
      <c r="AI16" s="176"/>
      <c r="AJ16" s="176"/>
      <c r="AK16" s="176"/>
      <c r="AL16" s="176"/>
      <c r="AM16" s="14"/>
      <c r="AN16" s="14"/>
      <c r="AO16" s="172"/>
      <c r="AR16" s="169"/>
      <c r="AS16" s="173"/>
      <c r="AT16" s="163"/>
      <c r="AU16" s="13"/>
      <c r="AV16" s="13"/>
      <c r="AW16" s="176"/>
      <c r="AX16" s="176"/>
      <c r="AY16" s="176"/>
      <c r="AZ16" s="176"/>
      <c r="BA16" s="14"/>
      <c r="BB16" s="14"/>
      <c r="BC16" s="172"/>
    </row>
    <row r="17" spans="1:55" ht="12.75">
      <c r="A17" s="163"/>
      <c r="B17" s="169"/>
      <c r="C17" s="173"/>
      <c r="D17" s="163"/>
      <c r="E17" s="163"/>
      <c r="F17" s="163"/>
      <c r="G17" s="163"/>
      <c r="H17" s="163"/>
      <c r="I17" s="163"/>
      <c r="J17" s="163"/>
      <c r="K17" s="163"/>
      <c r="L17" s="163"/>
      <c r="M17" s="172"/>
      <c r="O17" s="163"/>
      <c r="P17" s="169"/>
      <c r="Q17" s="173"/>
      <c r="R17" s="163"/>
      <c r="S17" s="163"/>
      <c r="T17" s="163"/>
      <c r="U17" s="163"/>
      <c r="V17" s="163"/>
      <c r="W17" s="163"/>
      <c r="X17" s="163"/>
      <c r="Y17" s="163"/>
      <c r="Z17" s="163"/>
      <c r="AA17" s="172"/>
      <c r="AD17" s="169"/>
      <c r="AE17" s="173"/>
      <c r="AF17" s="163"/>
      <c r="AG17" s="163"/>
      <c r="AH17" s="163"/>
      <c r="AI17" s="163"/>
      <c r="AJ17" s="163"/>
      <c r="AK17" s="163"/>
      <c r="AL17" s="163"/>
      <c r="AM17" s="163"/>
      <c r="AN17" s="163"/>
      <c r="AO17" s="172"/>
      <c r="AR17" s="169"/>
      <c r="AS17" s="173"/>
      <c r="AT17" s="163"/>
      <c r="AU17" s="163"/>
      <c r="AV17" s="163"/>
      <c r="AW17" s="163"/>
      <c r="AX17" s="163"/>
      <c r="AY17" s="163"/>
      <c r="AZ17" s="163"/>
      <c r="BA17" s="163"/>
      <c r="BB17" s="163"/>
      <c r="BC17" s="172"/>
    </row>
    <row r="18" spans="1:55" ht="12.75">
      <c r="A18" s="163"/>
      <c r="B18" s="169"/>
      <c r="C18" s="173"/>
      <c r="D18" s="163"/>
      <c r="E18" s="174"/>
      <c r="F18" s="174"/>
      <c r="G18" s="174"/>
      <c r="H18" s="174"/>
      <c r="I18" s="174"/>
      <c r="J18" s="174"/>
      <c r="K18" s="174"/>
      <c r="L18" s="174"/>
      <c r="M18" s="172"/>
      <c r="O18" s="163"/>
      <c r="P18" s="169"/>
      <c r="Q18" s="173"/>
      <c r="R18" s="163"/>
      <c r="S18" s="175"/>
      <c r="T18" s="175"/>
      <c r="U18" s="175"/>
      <c r="V18" s="175"/>
      <c r="W18" s="175"/>
      <c r="X18" s="175"/>
      <c r="Y18" s="175"/>
      <c r="Z18" s="175"/>
      <c r="AA18" s="172"/>
      <c r="AD18" s="169"/>
      <c r="AE18" s="173"/>
      <c r="AF18" s="163"/>
      <c r="AG18" s="175"/>
      <c r="AH18" s="175"/>
      <c r="AI18" s="175"/>
      <c r="AJ18" s="175"/>
      <c r="AK18" s="175"/>
      <c r="AL18" s="175"/>
      <c r="AM18" s="175"/>
      <c r="AN18" s="175"/>
      <c r="AO18" s="172"/>
      <c r="AR18" s="169"/>
      <c r="AS18" s="173"/>
      <c r="AT18" s="163"/>
      <c r="AU18" s="175"/>
      <c r="AV18" s="175"/>
      <c r="AW18" s="175"/>
      <c r="AX18" s="175"/>
      <c r="AY18" s="175"/>
      <c r="AZ18" s="175"/>
      <c r="BA18" s="175"/>
      <c r="BB18" s="175"/>
      <c r="BC18" s="172"/>
    </row>
    <row r="19" spans="1:55" ht="12.75">
      <c r="A19" s="163"/>
      <c r="B19" s="169"/>
      <c r="C19" s="173"/>
      <c r="D19" s="163"/>
      <c r="E19" s="163"/>
      <c r="F19" s="163"/>
      <c r="G19" s="163"/>
      <c r="H19" s="163"/>
      <c r="I19" s="163"/>
      <c r="J19" s="163"/>
      <c r="K19" s="163"/>
      <c r="L19" s="163"/>
      <c r="M19" s="172"/>
      <c r="O19" s="163"/>
      <c r="P19" s="169"/>
      <c r="Q19" s="173"/>
      <c r="R19" s="163"/>
      <c r="S19" s="163"/>
      <c r="T19" s="163"/>
      <c r="U19" s="163"/>
      <c r="V19" s="163"/>
      <c r="W19" s="163"/>
      <c r="X19" s="163"/>
      <c r="Y19" s="163"/>
      <c r="Z19" s="163"/>
      <c r="AA19" s="172"/>
      <c r="AD19" s="169"/>
      <c r="AE19" s="173"/>
      <c r="AF19" s="163"/>
      <c r="AG19" s="163"/>
      <c r="AH19" s="163"/>
      <c r="AI19" s="163"/>
      <c r="AJ19" s="163"/>
      <c r="AK19" s="163"/>
      <c r="AL19" s="163"/>
      <c r="AM19" s="163"/>
      <c r="AN19" s="163"/>
      <c r="AO19" s="172"/>
      <c r="AR19" s="169"/>
      <c r="AS19" s="173"/>
      <c r="AT19" s="163"/>
      <c r="AU19" s="163"/>
      <c r="AV19" s="163"/>
      <c r="AW19" s="163"/>
      <c r="AX19" s="163"/>
      <c r="AY19" s="163"/>
      <c r="AZ19" s="163"/>
      <c r="BA19" s="163"/>
      <c r="BB19" s="163"/>
      <c r="BC19" s="172"/>
    </row>
    <row r="20" spans="1:55" ht="12.75">
      <c r="A20" s="163"/>
      <c r="B20" s="169"/>
      <c r="C20" s="173"/>
      <c r="D20" s="163"/>
      <c r="E20" s="174"/>
      <c r="F20" s="174"/>
      <c r="G20" s="174"/>
      <c r="H20" s="174"/>
      <c r="I20" s="174"/>
      <c r="J20" s="174"/>
      <c r="K20" s="174"/>
      <c r="L20" s="174"/>
      <c r="M20" s="172"/>
      <c r="O20" s="163"/>
      <c r="P20" s="169"/>
      <c r="Q20" s="173"/>
      <c r="R20" s="163"/>
      <c r="S20" s="175"/>
      <c r="T20" s="175"/>
      <c r="U20" s="175"/>
      <c r="V20" s="175"/>
      <c r="W20" s="175"/>
      <c r="X20" s="175"/>
      <c r="Y20" s="175"/>
      <c r="Z20" s="175"/>
      <c r="AA20" s="172"/>
      <c r="AD20" s="169"/>
      <c r="AE20" s="173"/>
      <c r="AF20" s="163"/>
      <c r="AG20" s="175"/>
      <c r="AH20" s="175"/>
      <c r="AI20" s="175"/>
      <c r="AJ20" s="175"/>
      <c r="AK20" s="175"/>
      <c r="AL20" s="175"/>
      <c r="AM20" s="175"/>
      <c r="AN20" s="175"/>
      <c r="AO20" s="172"/>
      <c r="AR20" s="169"/>
      <c r="AS20" s="173"/>
      <c r="AT20" s="163"/>
      <c r="AU20" s="175"/>
      <c r="AV20" s="175"/>
      <c r="AW20" s="175"/>
      <c r="AX20" s="175"/>
      <c r="AY20" s="175"/>
      <c r="AZ20" s="175"/>
      <c r="BA20" s="175"/>
      <c r="BB20" s="175"/>
      <c r="BC20" s="172"/>
    </row>
    <row r="21" spans="1:55" ht="12.75">
      <c r="A21" s="163"/>
      <c r="B21" s="169"/>
      <c r="C21" s="173"/>
      <c r="D21" s="163"/>
      <c r="E21" s="163"/>
      <c r="F21" s="163"/>
      <c r="G21" s="163"/>
      <c r="H21" s="163"/>
      <c r="I21" s="163"/>
      <c r="J21" s="163"/>
      <c r="K21" s="163"/>
      <c r="L21" s="163"/>
      <c r="M21" s="172"/>
      <c r="O21" s="163"/>
      <c r="P21" s="169"/>
      <c r="Q21" s="173"/>
      <c r="R21" s="163"/>
      <c r="S21" s="163"/>
      <c r="T21" s="163"/>
      <c r="U21" s="163"/>
      <c r="V21" s="163"/>
      <c r="W21" s="163"/>
      <c r="X21" s="163"/>
      <c r="Y21" s="163"/>
      <c r="Z21" s="163"/>
      <c r="AA21" s="172"/>
      <c r="AD21" s="169"/>
      <c r="AE21" s="173"/>
      <c r="AF21" s="163"/>
      <c r="AG21" s="163"/>
      <c r="AH21" s="163"/>
      <c r="AI21" s="163"/>
      <c r="AJ21" s="163"/>
      <c r="AK21" s="163"/>
      <c r="AL21" s="163"/>
      <c r="AM21" s="163"/>
      <c r="AN21" s="163"/>
      <c r="AO21" s="172"/>
      <c r="AR21" s="169"/>
      <c r="AS21" s="173"/>
      <c r="AT21" s="163"/>
      <c r="AU21" s="163"/>
      <c r="AV21" s="163"/>
      <c r="AW21" s="163"/>
      <c r="AX21" s="163"/>
      <c r="AY21" s="163"/>
      <c r="AZ21" s="163"/>
      <c r="BA21" s="163"/>
      <c r="BB21" s="163"/>
      <c r="BC21" s="172"/>
    </row>
    <row r="22" spans="1:55" ht="12.75">
      <c r="A22" s="163"/>
      <c r="B22" s="169"/>
      <c r="C22" s="173"/>
      <c r="D22" s="163"/>
      <c r="E22" s="174"/>
      <c r="F22" s="174"/>
      <c r="G22" s="174"/>
      <c r="H22" s="174"/>
      <c r="I22" s="174"/>
      <c r="J22" s="174"/>
      <c r="K22" s="174"/>
      <c r="L22" s="174"/>
      <c r="M22" s="172"/>
      <c r="O22" s="163"/>
      <c r="P22" s="169"/>
      <c r="Q22" s="173"/>
      <c r="R22" s="163"/>
      <c r="S22" s="175"/>
      <c r="T22" s="175"/>
      <c r="U22" s="175"/>
      <c r="V22" s="175"/>
      <c r="W22" s="175"/>
      <c r="X22" s="175"/>
      <c r="Y22" s="175"/>
      <c r="Z22" s="175"/>
      <c r="AA22" s="172"/>
      <c r="AD22" s="169"/>
      <c r="AE22" s="173"/>
      <c r="AF22" s="163"/>
      <c r="AG22" s="175"/>
      <c r="AH22" s="175"/>
      <c r="AI22" s="175"/>
      <c r="AJ22" s="175"/>
      <c r="AK22" s="175"/>
      <c r="AL22" s="175"/>
      <c r="AM22" s="175"/>
      <c r="AN22" s="175"/>
      <c r="AO22" s="172"/>
      <c r="AR22" s="169"/>
      <c r="AS22" s="173"/>
      <c r="AT22" s="163"/>
      <c r="AU22" s="175"/>
      <c r="AV22" s="175"/>
      <c r="AW22" s="175"/>
      <c r="AX22" s="175"/>
      <c r="AY22" s="175"/>
      <c r="AZ22" s="175"/>
      <c r="BA22" s="175"/>
      <c r="BB22" s="175"/>
      <c r="BC22" s="172"/>
    </row>
    <row r="23" spans="1:55" ht="12.75">
      <c r="A23" s="163"/>
      <c r="B23" s="169"/>
      <c r="C23" s="173"/>
      <c r="D23" s="163"/>
      <c r="E23" s="174"/>
      <c r="F23" s="174"/>
      <c r="G23" s="174"/>
      <c r="H23" s="174"/>
      <c r="I23" s="174"/>
      <c r="J23" s="174"/>
      <c r="K23" s="174"/>
      <c r="L23" s="174"/>
      <c r="M23" s="172"/>
      <c r="O23" s="163"/>
      <c r="P23" s="169"/>
      <c r="Q23" s="173"/>
      <c r="R23" s="163"/>
      <c r="S23" s="175"/>
      <c r="T23" s="175"/>
      <c r="U23" s="175"/>
      <c r="V23" s="175"/>
      <c r="W23" s="175"/>
      <c r="X23" s="175"/>
      <c r="Y23" s="175"/>
      <c r="Z23" s="175"/>
      <c r="AA23" s="172"/>
      <c r="AD23" s="169"/>
      <c r="AE23" s="173"/>
      <c r="AF23" s="163"/>
      <c r="AG23" s="175"/>
      <c r="AH23" s="175"/>
      <c r="AI23" s="175"/>
      <c r="AJ23" s="175"/>
      <c r="AK23" s="175"/>
      <c r="AL23" s="175"/>
      <c r="AM23" s="175"/>
      <c r="AN23" s="175"/>
      <c r="AO23" s="172"/>
      <c r="AR23" s="169"/>
      <c r="AS23" s="173"/>
      <c r="AT23" s="163"/>
      <c r="AU23" s="175"/>
      <c r="AV23" s="175"/>
      <c r="AW23" s="175"/>
      <c r="AX23" s="175"/>
      <c r="AY23" s="175"/>
      <c r="AZ23" s="175"/>
      <c r="BA23" s="175"/>
      <c r="BB23" s="175"/>
      <c r="BC23" s="172"/>
    </row>
    <row r="24" spans="1:55" ht="12.75">
      <c r="A24" s="163"/>
      <c r="B24" s="169"/>
      <c r="C24" s="173"/>
      <c r="D24" s="163"/>
      <c r="E24" s="174"/>
      <c r="F24" s="174"/>
      <c r="G24" s="174"/>
      <c r="H24" s="174"/>
      <c r="I24" s="174"/>
      <c r="J24" s="174"/>
      <c r="K24" s="174"/>
      <c r="L24" s="174"/>
      <c r="M24" s="172"/>
      <c r="O24" s="163"/>
      <c r="P24" s="169"/>
      <c r="Q24" s="173"/>
      <c r="R24" s="163"/>
      <c r="S24" s="175"/>
      <c r="T24" s="175"/>
      <c r="U24" s="175"/>
      <c r="V24" s="175"/>
      <c r="W24" s="175"/>
      <c r="X24" s="175"/>
      <c r="Y24" s="175"/>
      <c r="Z24" s="175"/>
      <c r="AA24" s="172"/>
      <c r="AD24" s="169"/>
      <c r="AE24" s="173"/>
      <c r="AF24" s="163"/>
      <c r="AG24" s="175"/>
      <c r="AH24" s="175"/>
      <c r="AI24" s="175"/>
      <c r="AJ24" s="175"/>
      <c r="AK24" s="175"/>
      <c r="AL24" s="175"/>
      <c r="AM24" s="175"/>
      <c r="AN24" s="175"/>
      <c r="AO24" s="172"/>
      <c r="AR24" s="169"/>
      <c r="AS24" s="173"/>
      <c r="AT24" s="163"/>
      <c r="AU24" s="175"/>
      <c r="AV24" s="175"/>
      <c r="AW24" s="175"/>
      <c r="AX24" s="175"/>
      <c r="AY24" s="175"/>
      <c r="AZ24" s="175"/>
      <c r="BA24" s="175"/>
      <c r="BB24" s="175"/>
      <c r="BC24" s="172"/>
    </row>
    <row r="25" spans="1:55" ht="12.75">
      <c r="A25" s="163"/>
      <c r="B25" s="169"/>
      <c r="C25" s="173"/>
      <c r="D25" s="163"/>
      <c r="E25" s="163"/>
      <c r="F25" s="163"/>
      <c r="G25" s="163"/>
      <c r="H25" s="163"/>
      <c r="I25" s="163"/>
      <c r="J25" s="163"/>
      <c r="K25" s="163"/>
      <c r="L25" s="163"/>
      <c r="M25" s="172"/>
      <c r="O25" s="163"/>
      <c r="P25" s="169"/>
      <c r="Q25" s="173"/>
      <c r="R25" s="163"/>
      <c r="S25" s="163"/>
      <c r="T25" s="163"/>
      <c r="U25" s="163"/>
      <c r="V25" s="163"/>
      <c r="W25" s="163"/>
      <c r="X25" s="163"/>
      <c r="Y25" s="163"/>
      <c r="Z25" s="163"/>
      <c r="AA25" s="172"/>
      <c r="AD25" s="169"/>
      <c r="AE25" s="173"/>
      <c r="AF25" s="163"/>
      <c r="AG25" s="163"/>
      <c r="AH25" s="163"/>
      <c r="AI25" s="163"/>
      <c r="AJ25" s="163"/>
      <c r="AK25" s="163"/>
      <c r="AL25" s="163"/>
      <c r="AM25" s="163"/>
      <c r="AN25" s="163"/>
      <c r="AO25" s="172"/>
      <c r="AR25" s="169"/>
      <c r="AS25" s="173"/>
      <c r="AT25" s="163"/>
      <c r="AU25" s="163"/>
      <c r="AV25" s="163"/>
      <c r="AW25" s="163"/>
      <c r="AX25" s="163"/>
      <c r="AY25" s="163"/>
      <c r="AZ25" s="163"/>
      <c r="BA25" s="163"/>
      <c r="BB25" s="163"/>
      <c r="BC25" s="172"/>
    </row>
    <row r="26" spans="1:55" ht="12.75">
      <c r="A26" s="163"/>
      <c r="B26" s="169"/>
      <c r="C26" s="173"/>
      <c r="D26" s="163"/>
      <c r="E26" s="12"/>
      <c r="F26" s="163"/>
      <c r="G26" s="176"/>
      <c r="H26" s="1"/>
      <c r="I26" s="174"/>
      <c r="J26" s="174"/>
      <c r="K26" s="177"/>
      <c r="L26" s="177"/>
      <c r="M26" s="172"/>
      <c r="O26" s="163"/>
      <c r="P26" s="169"/>
      <c r="Q26" s="173"/>
      <c r="R26" s="163"/>
      <c r="S26" s="14"/>
      <c r="T26" s="14"/>
      <c r="U26" s="176"/>
      <c r="V26" s="15"/>
      <c r="W26" s="15"/>
      <c r="X26" s="15"/>
      <c r="Y26" s="15"/>
      <c r="Z26" s="15"/>
      <c r="AA26" s="172"/>
      <c r="AD26" s="169"/>
      <c r="AE26" s="173"/>
      <c r="AF26" s="163"/>
      <c r="AG26" s="14"/>
      <c r="AH26" s="14"/>
      <c r="AI26" s="176"/>
      <c r="AJ26" s="15"/>
      <c r="AK26" s="15"/>
      <c r="AL26" s="15"/>
      <c r="AM26" s="15"/>
      <c r="AN26" s="15"/>
      <c r="AO26" s="172"/>
      <c r="AR26" s="169"/>
      <c r="AS26" s="173"/>
      <c r="AT26" s="163"/>
      <c r="AU26" s="14"/>
      <c r="AV26" s="14"/>
      <c r="AW26" s="176"/>
      <c r="AX26" s="15"/>
      <c r="AY26" s="15"/>
      <c r="AZ26" s="15"/>
      <c r="BA26" s="15"/>
      <c r="BB26" s="15"/>
      <c r="BC26" s="172"/>
    </row>
    <row r="27" spans="1:55" ht="12.75">
      <c r="A27" s="163"/>
      <c r="B27" s="169"/>
      <c r="C27" s="163"/>
      <c r="D27" s="163"/>
      <c r="E27" s="163"/>
      <c r="F27" s="163"/>
      <c r="G27" s="163"/>
      <c r="H27" s="163"/>
      <c r="I27" s="163"/>
      <c r="J27" s="163"/>
      <c r="K27" s="163"/>
      <c r="L27" s="163"/>
      <c r="M27" s="172"/>
      <c r="O27" s="163"/>
      <c r="P27" s="169"/>
      <c r="Q27" s="163"/>
      <c r="R27" s="163"/>
      <c r="S27" s="163"/>
      <c r="T27" s="163"/>
      <c r="U27" s="163"/>
      <c r="V27" s="163"/>
      <c r="W27" s="163"/>
      <c r="X27" s="163"/>
      <c r="Y27" s="163"/>
      <c r="Z27" s="163"/>
      <c r="AA27" s="172"/>
      <c r="AD27" s="169"/>
      <c r="AE27" s="163"/>
      <c r="AF27" s="163"/>
      <c r="AG27" s="163"/>
      <c r="AH27" s="163"/>
      <c r="AI27" s="163"/>
      <c r="AJ27" s="163"/>
      <c r="AK27" s="163"/>
      <c r="AL27" s="163"/>
      <c r="AM27" s="163"/>
      <c r="AN27" s="163"/>
      <c r="AO27" s="172"/>
      <c r="AR27" s="169"/>
      <c r="AS27" s="163"/>
      <c r="AT27" s="163"/>
      <c r="AU27" s="163"/>
      <c r="AV27" s="163"/>
      <c r="AW27" s="163"/>
      <c r="AX27" s="163"/>
      <c r="AY27" s="163"/>
      <c r="AZ27" s="163"/>
      <c r="BA27" s="163"/>
      <c r="BB27" s="163"/>
      <c r="BC27" s="172"/>
    </row>
    <row r="28" spans="1:55" ht="12.75">
      <c r="A28" s="163"/>
      <c r="B28" s="169"/>
      <c r="C28" s="178"/>
      <c r="D28" s="163"/>
      <c r="E28" s="163"/>
      <c r="F28" s="163"/>
      <c r="G28" s="163"/>
      <c r="H28" s="163"/>
      <c r="I28" s="163"/>
      <c r="J28" s="163"/>
      <c r="K28" s="163"/>
      <c r="L28" s="163"/>
      <c r="M28" s="172"/>
      <c r="O28" s="163"/>
      <c r="P28" s="169"/>
      <c r="Q28" s="178"/>
      <c r="R28" s="163"/>
      <c r="S28" s="163"/>
      <c r="T28" s="163"/>
      <c r="U28" s="163"/>
      <c r="V28" s="163"/>
      <c r="W28" s="163"/>
      <c r="X28" s="163"/>
      <c r="Y28" s="163"/>
      <c r="Z28" s="163"/>
      <c r="AA28" s="172"/>
      <c r="AD28" s="169"/>
      <c r="AE28" s="178"/>
      <c r="AF28" s="163"/>
      <c r="AG28" s="163"/>
      <c r="AH28" s="163"/>
      <c r="AI28" s="163"/>
      <c r="AJ28" s="163"/>
      <c r="AK28" s="163"/>
      <c r="AL28" s="163"/>
      <c r="AM28" s="163"/>
      <c r="AN28" s="163"/>
      <c r="AO28" s="172"/>
      <c r="AR28" s="169"/>
      <c r="AS28" s="178"/>
      <c r="AT28" s="163"/>
      <c r="AU28" s="163"/>
      <c r="AV28" s="163"/>
      <c r="AW28" s="163"/>
      <c r="AX28" s="163"/>
      <c r="AY28" s="163"/>
      <c r="AZ28" s="163"/>
      <c r="BA28" s="163"/>
      <c r="BB28" s="163"/>
      <c r="BC28" s="172"/>
    </row>
    <row r="29" spans="1:55" ht="15">
      <c r="A29" s="163"/>
      <c r="B29" s="169"/>
      <c r="C29" s="179"/>
      <c r="D29" s="180"/>
      <c r="E29" s="180"/>
      <c r="F29" s="180"/>
      <c r="G29" s="180"/>
      <c r="H29" s="180"/>
      <c r="I29" s="180"/>
      <c r="J29" s="179"/>
      <c r="K29" s="180"/>
      <c r="L29" s="180"/>
      <c r="M29" s="172"/>
      <c r="O29" s="163"/>
      <c r="P29" s="169"/>
      <c r="Q29" s="181"/>
      <c r="R29" s="181"/>
      <c r="S29" s="181"/>
      <c r="T29" s="181"/>
      <c r="U29" s="181"/>
      <c r="V29" s="181"/>
      <c r="W29" s="181"/>
      <c r="X29" s="181"/>
      <c r="Y29" s="181"/>
      <c r="Z29" s="181"/>
      <c r="AA29" s="172"/>
      <c r="AD29" s="169"/>
      <c r="AE29" s="181"/>
      <c r="AF29" s="181"/>
      <c r="AG29" s="181"/>
      <c r="AH29" s="181"/>
      <c r="AI29" s="181"/>
      <c r="AJ29" s="181"/>
      <c r="AK29" s="181"/>
      <c r="AL29" s="181"/>
      <c r="AM29" s="181"/>
      <c r="AN29" s="181"/>
      <c r="AO29" s="172"/>
      <c r="AR29" s="169"/>
      <c r="AS29" s="181"/>
      <c r="AT29" s="181"/>
      <c r="AU29" s="181"/>
      <c r="AV29" s="181"/>
      <c r="AW29" s="181"/>
      <c r="AX29" s="181"/>
      <c r="AY29" s="181"/>
      <c r="AZ29" s="181"/>
      <c r="BA29" s="181"/>
      <c r="BB29" s="181"/>
      <c r="BC29" s="172"/>
    </row>
    <row r="30" spans="1:55" ht="12.75">
      <c r="A30" s="163"/>
      <c r="B30" s="169"/>
      <c r="C30" s="174"/>
      <c r="D30" s="174"/>
      <c r="E30" s="174"/>
      <c r="F30" s="174"/>
      <c r="G30" s="174"/>
      <c r="H30" s="174"/>
      <c r="I30" s="174"/>
      <c r="J30" s="182"/>
      <c r="K30" s="183"/>
      <c r="L30" s="183"/>
      <c r="M30" s="172"/>
      <c r="O30" s="163"/>
      <c r="P30" s="169"/>
      <c r="Q30" s="175"/>
      <c r="R30" s="175"/>
      <c r="S30" s="175"/>
      <c r="T30" s="175"/>
      <c r="U30" s="175"/>
      <c r="V30" s="175"/>
      <c r="W30" s="175"/>
      <c r="X30" s="184"/>
      <c r="Y30" s="184"/>
      <c r="Z30" s="184"/>
      <c r="AA30" s="172"/>
      <c r="AD30" s="169"/>
      <c r="AE30" s="175"/>
      <c r="AF30" s="175"/>
      <c r="AG30" s="175"/>
      <c r="AH30" s="175"/>
      <c r="AI30" s="175"/>
      <c r="AJ30" s="175"/>
      <c r="AK30" s="175"/>
      <c r="AL30" s="184"/>
      <c r="AM30" s="184"/>
      <c r="AN30" s="184"/>
      <c r="AO30" s="172"/>
      <c r="AR30" s="169"/>
      <c r="AS30" s="175"/>
      <c r="AT30" s="175"/>
      <c r="AU30" s="175"/>
      <c r="AV30" s="175"/>
      <c r="AW30" s="175"/>
      <c r="AX30" s="175"/>
      <c r="AY30" s="175"/>
      <c r="AZ30" s="184"/>
      <c r="BA30" s="184"/>
      <c r="BB30" s="184"/>
      <c r="BC30" s="172"/>
    </row>
    <row r="31" spans="1:55" ht="12.75">
      <c r="A31" s="163"/>
      <c r="B31" s="169"/>
      <c r="C31" s="174"/>
      <c r="D31" s="174"/>
      <c r="E31" s="174"/>
      <c r="F31" s="174"/>
      <c r="G31" s="174"/>
      <c r="H31" s="174"/>
      <c r="I31" s="174"/>
      <c r="J31" s="182"/>
      <c r="K31" s="183"/>
      <c r="L31" s="183"/>
      <c r="M31" s="172"/>
      <c r="O31" s="163"/>
      <c r="P31" s="169"/>
      <c r="Q31" s="175"/>
      <c r="R31" s="175"/>
      <c r="S31" s="175"/>
      <c r="T31" s="175"/>
      <c r="U31" s="175"/>
      <c r="V31" s="175"/>
      <c r="W31" s="175"/>
      <c r="X31" s="184"/>
      <c r="Y31" s="184"/>
      <c r="Z31" s="184"/>
      <c r="AA31" s="172"/>
      <c r="AD31" s="169"/>
      <c r="AE31" s="175"/>
      <c r="AF31" s="175"/>
      <c r="AG31" s="175"/>
      <c r="AH31" s="175"/>
      <c r="AI31" s="175"/>
      <c r="AJ31" s="175"/>
      <c r="AK31" s="175"/>
      <c r="AL31" s="184"/>
      <c r="AM31" s="184"/>
      <c r="AN31" s="184"/>
      <c r="AO31" s="172"/>
      <c r="AR31" s="169"/>
      <c r="AS31" s="175"/>
      <c r="AT31" s="175"/>
      <c r="AU31" s="175"/>
      <c r="AV31" s="175"/>
      <c r="AW31" s="175"/>
      <c r="AX31" s="175"/>
      <c r="AY31" s="175"/>
      <c r="AZ31" s="184"/>
      <c r="BA31" s="184"/>
      <c r="BB31" s="184"/>
      <c r="BC31" s="172"/>
    </row>
    <row r="32" spans="1:55" ht="18">
      <c r="A32" s="163"/>
      <c r="B32" s="169"/>
      <c r="C32" s="185"/>
      <c r="D32" s="186"/>
      <c r="E32" s="186"/>
      <c r="F32" s="186"/>
      <c r="G32" s="186"/>
      <c r="H32" s="186"/>
      <c r="I32" s="186"/>
      <c r="M32" s="172"/>
      <c r="O32" s="163"/>
      <c r="P32" s="169"/>
      <c r="Q32" s="187"/>
      <c r="R32" s="187"/>
      <c r="S32" s="187"/>
      <c r="T32" s="187"/>
      <c r="U32" s="187"/>
      <c r="V32" s="187"/>
      <c r="W32" s="187"/>
      <c r="X32" s="187"/>
      <c r="Y32" s="187"/>
      <c r="Z32" s="187"/>
      <c r="AA32" s="172"/>
      <c r="AD32" s="169"/>
      <c r="AE32" s="187"/>
      <c r="AF32" s="187"/>
      <c r="AG32" s="187"/>
      <c r="AH32" s="187"/>
      <c r="AI32" s="187"/>
      <c r="AJ32" s="187"/>
      <c r="AK32" s="187"/>
      <c r="AL32" s="187"/>
      <c r="AM32" s="187"/>
      <c r="AN32" s="187"/>
      <c r="AO32" s="172"/>
      <c r="AR32" s="169"/>
      <c r="AS32" s="187"/>
      <c r="AT32" s="187"/>
      <c r="AU32" s="187"/>
      <c r="AV32" s="187"/>
      <c r="AW32" s="187"/>
      <c r="AX32" s="187"/>
      <c r="AY32" s="187"/>
      <c r="AZ32" s="187"/>
      <c r="BA32" s="187"/>
      <c r="BB32" s="187"/>
      <c r="BC32" s="172"/>
    </row>
    <row r="33" spans="1:55" ht="12.75">
      <c r="A33" s="163"/>
      <c r="B33" s="169"/>
      <c r="C33" s="174"/>
      <c r="D33" s="188"/>
      <c r="E33" s="188"/>
      <c r="F33" s="188"/>
      <c r="G33" s="188"/>
      <c r="H33" s="188"/>
      <c r="I33" s="188"/>
      <c r="J33" s="182"/>
      <c r="K33" s="183"/>
      <c r="L33" s="183"/>
      <c r="M33" s="172"/>
      <c r="O33" s="163"/>
      <c r="P33" s="169"/>
      <c r="Q33" s="175"/>
      <c r="R33" s="175"/>
      <c r="S33" s="175"/>
      <c r="T33" s="175"/>
      <c r="U33" s="175"/>
      <c r="V33" s="175"/>
      <c r="W33" s="175"/>
      <c r="X33" s="184"/>
      <c r="Y33" s="184"/>
      <c r="Z33" s="184"/>
      <c r="AA33" s="172"/>
      <c r="AD33" s="169"/>
      <c r="AE33" s="175"/>
      <c r="AF33" s="175"/>
      <c r="AG33" s="175"/>
      <c r="AH33" s="175"/>
      <c r="AI33" s="175"/>
      <c r="AJ33" s="175"/>
      <c r="AK33" s="175"/>
      <c r="AL33" s="184"/>
      <c r="AM33" s="184"/>
      <c r="AN33" s="184"/>
      <c r="AO33" s="172"/>
      <c r="AR33" s="169"/>
      <c r="AS33" s="175"/>
      <c r="AT33" s="175"/>
      <c r="AU33" s="175"/>
      <c r="AV33" s="175"/>
      <c r="AW33" s="175"/>
      <c r="AX33" s="175"/>
      <c r="AY33" s="175"/>
      <c r="AZ33" s="184"/>
      <c r="BA33" s="184"/>
      <c r="BB33" s="184"/>
      <c r="BC33" s="172"/>
    </row>
    <row r="34" spans="1:55" ht="12.75">
      <c r="A34" s="163"/>
      <c r="B34" s="169"/>
      <c r="C34" s="174"/>
      <c r="D34" s="188"/>
      <c r="E34" s="188"/>
      <c r="F34" s="188"/>
      <c r="G34" s="188"/>
      <c r="H34" s="188"/>
      <c r="I34" s="188"/>
      <c r="J34" s="182"/>
      <c r="K34" s="183"/>
      <c r="L34" s="183"/>
      <c r="M34" s="172"/>
      <c r="O34" s="163"/>
      <c r="P34" s="169"/>
      <c r="Q34" s="175"/>
      <c r="R34" s="175"/>
      <c r="S34" s="175"/>
      <c r="T34" s="175"/>
      <c r="U34" s="175"/>
      <c r="V34" s="175"/>
      <c r="W34" s="175"/>
      <c r="X34" s="184"/>
      <c r="Y34" s="184"/>
      <c r="Z34" s="184"/>
      <c r="AA34" s="172"/>
      <c r="AD34" s="169"/>
      <c r="AE34" s="175"/>
      <c r="AF34" s="175"/>
      <c r="AG34" s="175"/>
      <c r="AH34" s="175"/>
      <c r="AI34" s="175"/>
      <c r="AJ34" s="175"/>
      <c r="AK34" s="175"/>
      <c r="AL34" s="184"/>
      <c r="AM34" s="184"/>
      <c r="AN34" s="184"/>
      <c r="AO34" s="172"/>
      <c r="AR34" s="169"/>
      <c r="AS34" s="175"/>
      <c r="AT34" s="175"/>
      <c r="AU34" s="175"/>
      <c r="AV34" s="175"/>
      <c r="AW34" s="175"/>
      <c r="AX34" s="175"/>
      <c r="AY34" s="175"/>
      <c r="AZ34" s="184"/>
      <c r="BA34" s="184"/>
      <c r="BB34" s="184"/>
      <c r="BC34" s="172"/>
    </row>
    <row r="35" spans="1:55" ht="12.75">
      <c r="A35" s="163"/>
      <c r="B35" s="169"/>
      <c r="C35" s="174"/>
      <c r="D35" s="188"/>
      <c r="E35" s="188"/>
      <c r="F35" s="188"/>
      <c r="G35" s="188"/>
      <c r="H35" s="188"/>
      <c r="I35" s="188"/>
      <c r="J35" s="182"/>
      <c r="K35" s="183"/>
      <c r="L35" s="183"/>
      <c r="M35" s="172"/>
      <c r="O35" s="163"/>
      <c r="P35" s="169"/>
      <c r="Q35" s="175"/>
      <c r="R35" s="175"/>
      <c r="S35" s="175"/>
      <c r="T35" s="175"/>
      <c r="U35" s="175"/>
      <c r="V35" s="175"/>
      <c r="W35" s="175"/>
      <c r="X35" s="184"/>
      <c r="Y35" s="184"/>
      <c r="Z35" s="184"/>
      <c r="AA35" s="172"/>
      <c r="AD35" s="169"/>
      <c r="AE35" s="175"/>
      <c r="AF35" s="175"/>
      <c r="AG35" s="175"/>
      <c r="AH35" s="175"/>
      <c r="AI35" s="175"/>
      <c r="AJ35" s="175"/>
      <c r="AK35" s="175"/>
      <c r="AL35" s="184"/>
      <c r="AM35" s="184"/>
      <c r="AN35" s="184"/>
      <c r="AO35" s="172"/>
      <c r="AR35" s="169"/>
      <c r="AS35" s="175"/>
      <c r="AT35" s="175"/>
      <c r="AU35" s="175"/>
      <c r="AV35" s="175"/>
      <c r="AW35" s="175"/>
      <c r="AX35" s="175"/>
      <c r="AY35" s="175"/>
      <c r="AZ35" s="184"/>
      <c r="BA35" s="184"/>
      <c r="BB35" s="184"/>
      <c r="BC35" s="172"/>
    </row>
    <row r="36" spans="1:55" ht="12.75">
      <c r="A36" s="163"/>
      <c r="B36" s="169"/>
      <c r="C36" s="174"/>
      <c r="D36" s="188"/>
      <c r="E36" s="188"/>
      <c r="F36" s="188"/>
      <c r="G36" s="188"/>
      <c r="H36" s="188"/>
      <c r="I36" s="188"/>
      <c r="J36" s="182"/>
      <c r="K36" s="183"/>
      <c r="L36" s="183"/>
      <c r="M36" s="172"/>
      <c r="O36" s="163"/>
      <c r="P36" s="169"/>
      <c r="Q36" s="175"/>
      <c r="R36" s="175"/>
      <c r="S36" s="175"/>
      <c r="T36" s="175"/>
      <c r="U36" s="175"/>
      <c r="V36" s="175"/>
      <c r="W36" s="175"/>
      <c r="X36" s="184"/>
      <c r="Y36" s="184"/>
      <c r="Z36" s="184"/>
      <c r="AA36" s="172"/>
      <c r="AD36" s="169"/>
      <c r="AE36" s="175"/>
      <c r="AF36" s="175"/>
      <c r="AG36" s="175"/>
      <c r="AH36" s="175"/>
      <c r="AI36" s="175"/>
      <c r="AJ36" s="175"/>
      <c r="AK36" s="175"/>
      <c r="AL36" s="184"/>
      <c r="AM36" s="184"/>
      <c r="AN36" s="184"/>
      <c r="AO36" s="172"/>
      <c r="AR36" s="169"/>
      <c r="AS36" s="175"/>
      <c r="AT36" s="175"/>
      <c r="AU36" s="175"/>
      <c r="AV36" s="175"/>
      <c r="AW36" s="175"/>
      <c r="AX36" s="175"/>
      <c r="AY36" s="175"/>
      <c r="AZ36" s="184"/>
      <c r="BA36" s="184"/>
      <c r="BB36" s="184"/>
      <c r="BC36" s="172"/>
    </row>
    <row r="37" spans="1:55" ht="12.75">
      <c r="A37" s="163"/>
      <c r="B37" s="169"/>
      <c r="C37" s="174"/>
      <c r="J37" s="182"/>
      <c r="M37" s="172"/>
      <c r="O37" s="163"/>
      <c r="P37" s="169"/>
      <c r="Q37" s="175"/>
      <c r="R37" s="175"/>
      <c r="S37" s="175"/>
      <c r="T37" s="175"/>
      <c r="U37" s="175"/>
      <c r="V37" s="175"/>
      <c r="W37" s="175"/>
      <c r="X37" s="184"/>
      <c r="Y37" s="184"/>
      <c r="Z37" s="184"/>
      <c r="AA37" s="172"/>
      <c r="AD37" s="169"/>
      <c r="AE37" s="175"/>
      <c r="AF37" s="175"/>
      <c r="AG37" s="175"/>
      <c r="AH37" s="175"/>
      <c r="AI37" s="175"/>
      <c r="AJ37" s="175"/>
      <c r="AK37" s="175"/>
      <c r="AL37" s="184"/>
      <c r="AM37" s="184"/>
      <c r="AN37" s="184"/>
      <c r="AO37" s="172"/>
      <c r="AR37" s="169"/>
      <c r="AS37" s="175"/>
      <c r="AT37" s="175"/>
      <c r="AU37" s="175"/>
      <c r="AV37" s="175"/>
      <c r="AW37" s="175"/>
      <c r="AX37" s="175"/>
      <c r="AY37" s="175"/>
      <c r="AZ37" s="184"/>
      <c r="BA37" s="184"/>
      <c r="BB37" s="184"/>
      <c r="BC37" s="172"/>
    </row>
    <row r="38" spans="1:55" ht="12.75">
      <c r="A38" s="163"/>
      <c r="B38" s="169"/>
      <c r="C38" s="174"/>
      <c r="J38" s="182"/>
      <c r="M38" s="172"/>
      <c r="O38" s="163"/>
      <c r="P38" s="169"/>
      <c r="Q38" s="175"/>
      <c r="R38" s="175"/>
      <c r="S38" s="175"/>
      <c r="T38" s="175"/>
      <c r="U38" s="175"/>
      <c r="V38" s="175"/>
      <c r="W38" s="175"/>
      <c r="X38" s="184"/>
      <c r="Y38" s="184"/>
      <c r="Z38" s="184"/>
      <c r="AA38" s="172"/>
      <c r="AD38" s="169"/>
      <c r="AE38" s="175"/>
      <c r="AF38" s="175"/>
      <c r="AG38" s="175"/>
      <c r="AH38" s="175"/>
      <c r="AI38" s="175"/>
      <c r="AJ38" s="175"/>
      <c r="AK38" s="175"/>
      <c r="AL38" s="184"/>
      <c r="AM38" s="184"/>
      <c r="AN38" s="184"/>
      <c r="AO38" s="172"/>
      <c r="AR38" s="169"/>
      <c r="AS38" s="175"/>
      <c r="AT38" s="175"/>
      <c r="AU38" s="175"/>
      <c r="AV38" s="175"/>
      <c r="AW38" s="175"/>
      <c r="AX38" s="175"/>
      <c r="AY38" s="175"/>
      <c r="AZ38" s="184"/>
      <c r="BA38" s="184"/>
      <c r="BB38" s="184"/>
      <c r="BC38" s="172"/>
    </row>
    <row r="39" spans="1:55" ht="12.75">
      <c r="A39" s="163"/>
      <c r="B39" s="169"/>
      <c r="C39" s="174"/>
      <c r="D39" s="174"/>
      <c r="E39" s="174"/>
      <c r="F39" s="174"/>
      <c r="G39" s="174"/>
      <c r="H39" s="174"/>
      <c r="I39" s="174"/>
      <c r="J39" s="182"/>
      <c r="K39" s="182"/>
      <c r="L39" s="182"/>
      <c r="M39" s="172"/>
      <c r="O39" s="163"/>
      <c r="P39" s="169"/>
      <c r="Q39" s="175"/>
      <c r="R39" s="175"/>
      <c r="S39" s="175"/>
      <c r="T39" s="175"/>
      <c r="U39" s="175"/>
      <c r="V39" s="175"/>
      <c r="W39" s="175"/>
      <c r="X39" s="184"/>
      <c r="Y39" s="184"/>
      <c r="Z39" s="184"/>
      <c r="AA39" s="172"/>
      <c r="AD39" s="169"/>
      <c r="AE39" s="175"/>
      <c r="AF39" s="175"/>
      <c r="AG39" s="175"/>
      <c r="AH39" s="175"/>
      <c r="AI39" s="175"/>
      <c r="AJ39" s="175"/>
      <c r="AK39" s="175"/>
      <c r="AL39" s="184"/>
      <c r="AM39" s="184"/>
      <c r="AN39" s="184"/>
      <c r="AO39" s="172"/>
      <c r="AR39" s="169"/>
      <c r="AS39" s="175"/>
      <c r="AT39" s="175"/>
      <c r="AU39" s="175"/>
      <c r="AV39" s="175"/>
      <c r="AW39" s="175"/>
      <c r="AX39" s="175"/>
      <c r="AY39" s="175"/>
      <c r="AZ39" s="184"/>
      <c r="BA39" s="184"/>
      <c r="BB39" s="184"/>
      <c r="BC39" s="172"/>
    </row>
    <row r="40" spans="1:55" ht="12.75">
      <c r="A40" s="163"/>
      <c r="B40" s="169"/>
      <c r="C40" s="174"/>
      <c r="J40" s="182"/>
      <c r="K40" s="182"/>
      <c r="L40" s="182"/>
      <c r="M40" s="172"/>
      <c r="O40" s="163"/>
      <c r="P40" s="169"/>
      <c r="Q40" s="175"/>
      <c r="R40" s="175"/>
      <c r="S40" s="175"/>
      <c r="T40" s="175"/>
      <c r="U40" s="175"/>
      <c r="V40" s="175"/>
      <c r="W40" s="175"/>
      <c r="X40" s="184"/>
      <c r="Y40" s="184"/>
      <c r="Z40" s="184"/>
      <c r="AA40" s="172"/>
      <c r="AD40" s="169"/>
      <c r="AE40" s="175"/>
      <c r="AF40" s="175"/>
      <c r="AG40" s="175"/>
      <c r="AH40" s="175"/>
      <c r="AI40" s="175"/>
      <c r="AJ40" s="175"/>
      <c r="AK40" s="175"/>
      <c r="AL40" s="184"/>
      <c r="AM40" s="184"/>
      <c r="AN40" s="184"/>
      <c r="AO40" s="172"/>
      <c r="AR40" s="169"/>
      <c r="AS40" s="175"/>
      <c r="AT40" s="175"/>
      <c r="AU40" s="175"/>
      <c r="AV40" s="175"/>
      <c r="AW40" s="175"/>
      <c r="AX40" s="175"/>
      <c r="AY40" s="175"/>
      <c r="AZ40" s="184"/>
      <c r="BA40" s="184"/>
      <c r="BB40" s="184"/>
      <c r="BC40" s="172"/>
    </row>
    <row r="41" spans="1:55" ht="12.75">
      <c r="A41" s="163"/>
      <c r="B41" s="169"/>
      <c r="C41" s="189"/>
      <c r="D41" s="190"/>
      <c r="E41" s="190"/>
      <c r="F41" s="190"/>
      <c r="G41" s="190"/>
      <c r="H41" s="190"/>
      <c r="I41" s="190"/>
      <c r="J41" s="191"/>
      <c r="M41" s="172"/>
      <c r="O41" s="163"/>
      <c r="P41" s="169"/>
      <c r="Q41" s="192"/>
      <c r="R41" s="192"/>
      <c r="S41" s="192"/>
      <c r="T41" s="192"/>
      <c r="U41" s="192"/>
      <c r="V41" s="192"/>
      <c r="W41" s="192"/>
      <c r="X41" s="193"/>
      <c r="Y41" s="193"/>
      <c r="Z41" s="193"/>
      <c r="AA41" s="172"/>
      <c r="AD41" s="169"/>
      <c r="AE41" s="192"/>
      <c r="AF41" s="192"/>
      <c r="AG41" s="192"/>
      <c r="AH41" s="192"/>
      <c r="AI41" s="192"/>
      <c r="AJ41" s="192"/>
      <c r="AK41" s="192"/>
      <c r="AL41" s="193"/>
      <c r="AM41" s="193"/>
      <c r="AN41" s="193"/>
      <c r="AO41" s="172"/>
      <c r="AR41" s="169"/>
      <c r="AS41" s="192"/>
      <c r="AT41" s="192"/>
      <c r="AU41" s="192"/>
      <c r="AV41" s="192"/>
      <c r="AW41" s="192"/>
      <c r="AX41" s="192"/>
      <c r="AY41" s="192"/>
      <c r="AZ41" s="193"/>
      <c r="BA41" s="193"/>
      <c r="BB41" s="193"/>
      <c r="BC41" s="172"/>
    </row>
    <row r="42" spans="1:55" ht="12.75">
      <c r="A42" s="163"/>
      <c r="B42" s="169"/>
      <c r="C42" s="174"/>
      <c r="J42" s="182"/>
      <c r="K42" s="183"/>
      <c r="L42" s="183"/>
      <c r="M42" s="172"/>
      <c r="O42" s="163"/>
      <c r="P42" s="169"/>
      <c r="Q42" s="175"/>
      <c r="R42" s="175"/>
      <c r="S42" s="175"/>
      <c r="T42" s="175"/>
      <c r="U42" s="175"/>
      <c r="V42" s="175"/>
      <c r="W42" s="175"/>
      <c r="X42" s="184"/>
      <c r="Y42" s="184"/>
      <c r="Z42" s="184"/>
      <c r="AA42" s="172"/>
      <c r="AD42" s="169"/>
      <c r="AE42" s="175"/>
      <c r="AF42" s="175"/>
      <c r="AG42" s="175"/>
      <c r="AH42" s="175"/>
      <c r="AI42" s="175"/>
      <c r="AJ42" s="175"/>
      <c r="AK42" s="175"/>
      <c r="AL42" s="184"/>
      <c r="AM42" s="184"/>
      <c r="AN42" s="184"/>
      <c r="AO42" s="172"/>
      <c r="AR42" s="169"/>
      <c r="AS42" s="175"/>
      <c r="AT42" s="175"/>
      <c r="AU42" s="175"/>
      <c r="AV42" s="175"/>
      <c r="AW42" s="175"/>
      <c r="AX42" s="175"/>
      <c r="AY42" s="175"/>
      <c r="AZ42" s="184"/>
      <c r="BA42" s="184"/>
      <c r="BB42" s="184"/>
      <c r="BC42" s="172"/>
    </row>
    <row r="43" spans="1:55" ht="12.75">
      <c r="A43" s="163"/>
      <c r="B43" s="169"/>
      <c r="C43" s="190"/>
      <c r="D43" s="190"/>
      <c r="E43" s="190"/>
      <c r="F43" s="190"/>
      <c r="G43" s="190"/>
      <c r="H43" s="190"/>
      <c r="I43" s="190"/>
      <c r="J43" s="194"/>
      <c r="K43" s="194"/>
      <c r="L43" s="194"/>
      <c r="M43" s="172"/>
      <c r="O43" s="163"/>
      <c r="P43" s="169"/>
      <c r="Q43" s="195"/>
      <c r="R43" s="195"/>
      <c r="S43" s="195"/>
      <c r="T43" s="195"/>
      <c r="U43" s="195"/>
      <c r="V43" s="195"/>
      <c r="W43" s="195"/>
      <c r="X43" s="196"/>
      <c r="Y43" s="196"/>
      <c r="Z43" s="196"/>
      <c r="AA43" s="172"/>
      <c r="AD43" s="169"/>
      <c r="AE43" s="195"/>
      <c r="AF43" s="195"/>
      <c r="AG43" s="195"/>
      <c r="AH43" s="195"/>
      <c r="AI43" s="195"/>
      <c r="AJ43" s="195"/>
      <c r="AK43" s="195"/>
      <c r="AL43" s="196"/>
      <c r="AM43" s="196"/>
      <c r="AN43" s="196"/>
      <c r="AO43" s="172"/>
      <c r="AR43" s="169"/>
      <c r="AS43" s="195"/>
      <c r="AT43" s="195"/>
      <c r="AU43" s="195"/>
      <c r="AV43" s="195"/>
      <c r="AW43" s="195"/>
      <c r="AX43" s="195"/>
      <c r="AY43" s="195"/>
      <c r="AZ43" s="196"/>
      <c r="BA43" s="196"/>
      <c r="BB43" s="196"/>
      <c r="BC43" s="172"/>
    </row>
    <row r="44" spans="1:55" ht="12.75">
      <c r="A44" s="163"/>
      <c r="B44" s="169"/>
      <c r="C44" s="163"/>
      <c r="D44" s="163"/>
      <c r="E44" s="163"/>
      <c r="F44" s="163"/>
      <c r="G44" s="163"/>
      <c r="H44" s="163"/>
      <c r="I44" s="163"/>
      <c r="J44" s="163"/>
      <c r="K44" s="163"/>
      <c r="L44" s="163"/>
      <c r="M44" s="172"/>
      <c r="O44" s="163"/>
      <c r="P44" s="169"/>
      <c r="Q44" s="163"/>
      <c r="R44" s="163"/>
      <c r="S44" s="163"/>
      <c r="T44" s="163"/>
      <c r="U44" s="163"/>
      <c r="V44" s="163"/>
      <c r="W44" s="163"/>
      <c r="X44" s="163"/>
      <c r="Y44" s="163"/>
      <c r="Z44" s="163"/>
      <c r="AA44" s="172"/>
      <c r="AD44" s="169"/>
      <c r="AE44" s="163"/>
      <c r="AF44" s="163"/>
      <c r="AG44" s="163"/>
      <c r="AH44" s="163"/>
      <c r="AI44" s="163"/>
      <c r="AJ44" s="163"/>
      <c r="AK44" s="163"/>
      <c r="AL44" s="163"/>
      <c r="AM44" s="163"/>
      <c r="AN44" s="163"/>
      <c r="AO44" s="172"/>
      <c r="AR44" s="169"/>
      <c r="AS44" s="163"/>
      <c r="AT44" s="163"/>
      <c r="AU44" s="163"/>
      <c r="AV44" s="163"/>
      <c r="AW44" s="163"/>
      <c r="AX44" s="163"/>
      <c r="AY44" s="163"/>
      <c r="AZ44" s="163"/>
      <c r="BA44" s="163"/>
      <c r="BB44" s="163"/>
      <c r="BC44" s="172"/>
    </row>
    <row r="45" spans="1:55" ht="12.75">
      <c r="A45" s="163"/>
      <c r="B45" s="169"/>
      <c r="C45" s="163"/>
      <c r="D45" s="163"/>
      <c r="E45" s="163"/>
      <c r="F45" s="163"/>
      <c r="G45" s="163"/>
      <c r="H45" s="163"/>
      <c r="I45" s="163"/>
      <c r="J45" s="163"/>
      <c r="K45" s="163"/>
      <c r="L45" s="163"/>
      <c r="M45" s="172"/>
      <c r="O45" s="163"/>
      <c r="P45" s="169"/>
      <c r="Q45" s="163"/>
      <c r="R45" s="163"/>
      <c r="S45" s="163"/>
      <c r="T45" s="163"/>
      <c r="U45" s="163"/>
      <c r="V45" s="163"/>
      <c r="W45" s="163"/>
      <c r="X45" s="163"/>
      <c r="Y45" s="163"/>
      <c r="Z45" s="163"/>
      <c r="AA45" s="172"/>
      <c r="AD45" s="169"/>
      <c r="AE45" s="163"/>
      <c r="AF45" s="163"/>
      <c r="AG45" s="163"/>
      <c r="AH45" s="163"/>
      <c r="AI45" s="163"/>
      <c r="AJ45" s="163"/>
      <c r="AK45" s="163"/>
      <c r="AL45" s="163"/>
      <c r="AM45" s="163"/>
      <c r="AN45" s="163"/>
      <c r="AO45" s="172"/>
      <c r="AR45" s="169"/>
      <c r="AS45" s="163"/>
      <c r="AT45" s="163"/>
      <c r="AU45" s="163"/>
      <c r="AV45" s="163"/>
      <c r="AW45" s="163"/>
      <c r="AX45" s="163"/>
      <c r="AY45" s="163"/>
      <c r="AZ45" s="163"/>
      <c r="BA45" s="163"/>
      <c r="BB45" s="163"/>
      <c r="BC45" s="172"/>
    </row>
    <row r="46" spans="1:55" ht="12.75">
      <c r="A46" s="163"/>
      <c r="B46" s="169"/>
      <c r="C46" s="197"/>
      <c r="D46" s="163"/>
      <c r="E46" s="163"/>
      <c r="F46" s="163"/>
      <c r="G46" s="163"/>
      <c r="H46" s="163"/>
      <c r="I46" s="163"/>
      <c r="J46" s="163"/>
      <c r="K46" s="163"/>
      <c r="L46" s="163"/>
      <c r="M46" s="172"/>
      <c r="O46" s="163"/>
      <c r="P46" s="169"/>
      <c r="Q46" s="197"/>
      <c r="R46" s="163"/>
      <c r="S46" s="163"/>
      <c r="T46" s="163"/>
      <c r="U46" s="163"/>
      <c r="V46" s="163"/>
      <c r="W46" s="163"/>
      <c r="X46" s="163"/>
      <c r="Y46" s="163"/>
      <c r="Z46" s="163"/>
      <c r="AA46" s="172"/>
      <c r="AD46" s="169"/>
      <c r="AE46" s="197"/>
      <c r="AF46" s="163"/>
      <c r="AG46" s="163"/>
      <c r="AH46" s="163"/>
      <c r="AI46" s="163"/>
      <c r="AJ46" s="163"/>
      <c r="AK46" s="163"/>
      <c r="AL46" s="163"/>
      <c r="AM46" s="163"/>
      <c r="AN46" s="163"/>
      <c r="AO46" s="172"/>
      <c r="AR46" s="169"/>
      <c r="AS46" s="197"/>
      <c r="AT46" s="163"/>
      <c r="AU46" s="163"/>
      <c r="AV46" s="163"/>
      <c r="AW46" s="163"/>
      <c r="AX46" s="163"/>
      <c r="AY46" s="163"/>
      <c r="AZ46" s="163"/>
      <c r="BA46" s="163"/>
      <c r="BB46" s="163"/>
      <c r="BC46" s="172"/>
    </row>
    <row r="47" spans="1:55" ht="12.75">
      <c r="A47" s="163"/>
      <c r="B47" s="169"/>
      <c r="C47" s="197"/>
      <c r="D47" s="163"/>
      <c r="E47" s="163"/>
      <c r="F47" s="163"/>
      <c r="G47" s="163"/>
      <c r="H47" s="163"/>
      <c r="I47" s="163"/>
      <c r="J47" s="163"/>
      <c r="K47" s="163"/>
      <c r="L47" s="163"/>
      <c r="M47" s="172"/>
      <c r="O47" s="163"/>
      <c r="P47" s="169"/>
      <c r="Q47" s="197"/>
      <c r="R47" s="163"/>
      <c r="S47" s="163"/>
      <c r="T47" s="163"/>
      <c r="U47" s="163"/>
      <c r="V47" s="163"/>
      <c r="W47" s="163"/>
      <c r="X47" s="163"/>
      <c r="Y47" s="163"/>
      <c r="Z47" s="163"/>
      <c r="AA47" s="172"/>
      <c r="AD47" s="169"/>
      <c r="AE47" s="197"/>
      <c r="AF47" s="163"/>
      <c r="AG47" s="163"/>
      <c r="AH47" s="163"/>
      <c r="AI47" s="163"/>
      <c r="AJ47" s="163"/>
      <c r="AK47" s="163"/>
      <c r="AL47" s="163"/>
      <c r="AM47" s="163"/>
      <c r="AN47" s="163"/>
      <c r="AO47" s="172"/>
      <c r="AR47" s="169"/>
      <c r="AS47" s="197"/>
      <c r="AT47" s="163"/>
      <c r="AU47" s="163"/>
      <c r="AV47" s="163"/>
      <c r="AW47" s="163"/>
      <c r="AX47" s="163"/>
      <c r="AY47" s="163"/>
      <c r="AZ47" s="163"/>
      <c r="BA47" s="163"/>
      <c r="BB47" s="163"/>
      <c r="BC47" s="172"/>
    </row>
    <row r="48" spans="1:55" ht="12.75">
      <c r="A48" s="163"/>
      <c r="B48" s="169"/>
      <c r="C48" s="197"/>
      <c r="D48" s="163"/>
      <c r="E48" s="163"/>
      <c r="F48" s="163"/>
      <c r="G48" s="163"/>
      <c r="H48" s="163"/>
      <c r="I48" s="163"/>
      <c r="J48" s="163"/>
      <c r="K48" s="163"/>
      <c r="L48" s="163"/>
      <c r="M48" s="172"/>
      <c r="O48" s="163"/>
      <c r="P48" s="169"/>
      <c r="Q48" s="197"/>
      <c r="R48" s="163"/>
      <c r="S48" s="163"/>
      <c r="T48" s="163"/>
      <c r="U48" s="163"/>
      <c r="V48" s="163"/>
      <c r="W48" s="163"/>
      <c r="X48" s="163"/>
      <c r="Y48" s="163"/>
      <c r="Z48" s="163"/>
      <c r="AA48" s="172"/>
      <c r="AD48" s="169"/>
      <c r="AE48" s="197"/>
      <c r="AF48" s="163"/>
      <c r="AG48" s="163"/>
      <c r="AH48" s="163"/>
      <c r="AI48" s="163"/>
      <c r="AJ48" s="163"/>
      <c r="AK48" s="163"/>
      <c r="AL48" s="163"/>
      <c r="AM48" s="163"/>
      <c r="AN48" s="163"/>
      <c r="AO48" s="172"/>
      <c r="AR48" s="169"/>
      <c r="AS48" s="197"/>
      <c r="AT48" s="163"/>
      <c r="AU48" s="163"/>
      <c r="AV48" s="163"/>
      <c r="AW48" s="163"/>
      <c r="AX48" s="163"/>
      <c r="AY48" s="163"/>
      <c r="AZ48" s="163"/>
      <c r="BA48" s="163"/>
      <c r="BB48" s="163"/>
      <c r="BC48" s="172"/>
    </row>
    <row r="49" spans="1:55" ht="12.75">
      <c r="A49" s="163"/>
      <c r="B49" s="169"/>
      <c r="C49" s="163"/>
      <c r="D49" s="163"/>
      <c r="E49" s="163"/>
      <c r="F49" s="163"/>
      <c r="G49" s="163"/>
      <c r="H49" s="163"/>
      <c r="I49" s="163"/>
      <c r="J49" s="163"/>
      <c r="K49" s="163"/>
      <c r="L49" s="163"/>
      <c r="M49" s="172"/>
      <c r="O49" s="163"/>
      <c r="P49" s="169"/>
      <c r="Q49" s="163"/>
      <c r="R49" s="163"/>
      <c r="S49" s="163"/>
      <c r="T49" s="163"/>
      <c r="U49" s="163"/>
      <c r="V49" s="163"/>
      <c r="W49" s="163"/>
      <c r="X49" s="163"/>
      <c r="Y49" s="163"/>
      <c r="Z49" s="163"/>
      <c r="AA49" s="172"/>
      <c r="AD49" s="169"/>
      <c r="AE49" s="163"/>
      <c r="AF49" s="163"/>
      <c r="AG49" s="163"/>
      <c r="AH49" s="163"/>
      <c r="AI49" s="163"/>
      <c r="AJ49" s="163"/>
      <c r="AK49" s="163"/>
      <c r="AL49" s="163"/>
      <c r="AM49" s="163"/>
      <c r="AN49" s="163"/>
      <c r="AO49" s="172"/>
      <c r="AR49" s="169"/>
      <c r="AS49" s="163"/>
      <c r="AT49" s="163"/>
      <c r="AU49" s="163"/>
      <c r="AV49" s="163"/>
      <c r="AW49" s="163"/>
      <c r="AX49" s="163"/>
      <c r="AY49" s="163"/>
      <c r="AZ49" s="163"/>
      <c r="BA49" s="163"/>
      <c r="BB49" s="163"/>
      <c r="BC49" s="172"/>
    </row>
    <row r="50" spans="1:55" ht="15">
      <c r="A50" s="163"/>
      <c r="B50" s="169"/>
      <c r="C50" s="163"/>
      <c r="D50" s="198" t="s">
        <v>307</v>
      </c>
      <c r="E50" s="163"/>
      <c r="F50" s="199" t="s">
        <v>308</v>
      </c>
      <c r="G50" s="200">
        <v>6.05</v>
      </c>
      <c r="I50" s="199" t="s">
        <v>309</v>
      </c>
      <c r="J50" s="201">
        <v>45336</v>
      </c>
      <c r="L50" s="163"/>
      <c r="M50" s="172"/>
      <c r="O50" s="163"/>
      <c r="P50" s="169"/>
      <c r="Q50" s="163"/>
      <c r="R50" s="198" t="str">
        <f>$D$50</f>
        <v>ESR/2015/1824</v>
      </c>
      <c r="S50" s="198"/>
      <c r="T50" s="202" t="str">
        <f>$F$50</f>
        <v>Version:</v>
      </c>
      <c r="U50" s="200">
        <f>$G$50</f>
        <v>6.05</v>
      </c>
      <c r="V50" s="198"/>
      <c r="W50" s="202" t="str">
        <f>$I$50</f>
        <v>Effective Date:</v>
      </c>
      <c r="X50" s="198">
        <f>$J$50</f>
        <v>45336</v>
      </c>
      <c r="Y50" s="198" t="str">
        <f t="shared" ref="Y50" si="0">IF(K50="","",K50)</f>
        <v/>
      </c>
      <c r="Z50" s="163"/>
      <c r="AA50" s="172"/>
      <c r="AD50" s="169"/>
      <c r="AE50" s="163"/>
      <c r="AF50" s="198" t="str">
        <f>$D$50</f>
        <v>ESR/2015/1824</v>
      </c>
      <c r="AG50" s="198"/>
      <c r="AH50" s="202" t="str">
        <f>$F$50</f>
        <v>Version:</v>
      </c>
      <c r="AI50" s="200">
        <f>$G$50</f>
        <v>6.05</v>
      </c>
      <c r="AJ50" s="198"/>
      <c r="AK50" s="202" t="str">
        <f>$I$50</f>
        <v>Effective Date:</v>
      </c>
      <c r="AL50" s="198">
        <f>$J$50</f>
        <v>45336</v>
      </c>
      <c r="AM50" s="163"/>
      <c r="AN50" s="163"/>
      <c r="AO50" s="172"/>
      <c r="AR50" s="169"/>
      <c r="AS50" s="163"/>
      <c r="AT50" s="198" t="str">
        <f>$D$50</f>
        <v>ESR/2015/1824</v>
      </c>
      <c r="AU50" s="198"/>
      <c r="AV50" s="202" t="str">
        <f>$F$50</f>
        <v>Version:</v>
      </c>
      <c r="AW50" s="200">
        <f>$G$50</f>
        <v>6.05</v>
      </c>
      <c r="AX50" s="198"/>
      <c r="AY50" s="202" t="str">
        <f>$I$50</f>
        <v>Effective Date:</v>
      </c>
      <c r="AZ50" s="198">
        <f>$J$50</f>
        <v>45336</v>
      </c>
      <c r="BA50" s="163"/>
      <c r="BB50" s="163"/>
      <c r="BC50" s="172"/>
    </row>
    <row r="51" spans="1:55" ht="12.75">
      <c r="A51" s="163"/>
      <c r="B51" s="169"/>
      <c r="C51" s="163"/>
      <c r="D51" s="163"/>
      <c r="E51" s="163"/>
      <c r="F51" s="163"/>
      <c r="G51" s="163"/>
      <c r="H51" s="163"/>
      <c r="I51" s="163"/>
      <c r="K51" s="163"/>
      <c r="L51" s="163"/>
      <c r="M51" s="172"/>
      <c r="O51" s="163"/>
      <c r="P51" s="169"/>
      <c r="Q51" s="163"/>
      <c r="R51" s="163"/>
      <c r="S51" s="163"/>
      <c r="T51" s="163"/>
      <c r="U51" s="163"/>
      <c r="V51" s="163"/>
      <c r="W51" s="163"/>
      <c r="X51" s="163"/>
      <c r="Y51" s="163"/>
      <c r="Z51" s="163"/>
      <c r="AA51" s="172"/>
      <c r="AD51" s="169"/>
      <c r="AE51" s="163"/>
      <c r="AF51" s="163"/>
      <c r="AG51" s="163"/>
      <c r="AH51" s="163"/>
      <c r="AI51" s="163"/>
      <c r="AJ51" s="163"/>
      <c r="AK51" s="163"/>
      <c r="AL51" s="163"/>
      <c r="AM51" s="163"/>
      <c r="AN51" s="163"/>
      <c r="AO51" s="172"/>
      <c r="AR51" s="169"/>
      <c r="AS51" s="163"/>
      <c r="AT51" s="163"/>
      <c r="AU51" s="163"/>
      <c r="AV51" s="163"/>
      <c r="AW51" s="163"/>
      <c r="AX51" s="163"/>
      <c r="AY51" s="163"/>
      <c r="AZ51" s="163"/>
      <c r="BA51" s="163"/>
      <c r="BB51" s="163"/>
      <c r="BC51" s="172"/>
    </row>
    <row r="52" spans="1:55" ht="12.75">
      <c r="A52" s="163"/>
      <c r="B52" s="169"/>
      <c r="C52" s="163"/>
      <c r="D52" s="163"/>
      <c r="E52" s="163"/>
      <c r="F52" s="163"/>
      <c r="G52" s="163"/>
      <c r="H52" s="163"/>
      <c r="I52" s="163"/>
      <c r="J52" s="163"/>
      <c r="K52" s="163"/>
      <c r="L52" s="163"/>
      <c r="M52" s="172"/>
      <c r="O52" s="163"/>
      <c r="P52" s="169"/>
      <c r="Q52" s="163"/>
      <c r="R52" s="163"/>
      <c r="S52" s="163"/>
      <c r="T52" s="163"/>
      <c r="U52" s="163"/>
      <c r="V52" s="163"/>
      <c r="W52" s="163"/>
      <c r="X52" s="163"/>
      <c r="Y52" s="163"/>
      <c r="Z52" s="163"/>
      <c r="AA52" s="172"/>
      <c r="AD52" s="169"/>
      <c r="AE52" s="163"/>
      <c r="AF52" s="163"/>
      <c r="AG52" s="163"/>
      <c r="AH52" s="163"/>
      <c r="AI52" s="163"/>
      <c r="AJ52" s="163"/>
      <c r="AK52" s="163"/>
      <c r="AL52" s="163"/>
      <c r="AM52" s="163"/>
      <c r="AN52" s="163"/>
      <c r="AO52" s="172"/>
      <c r="AR52" s="169"/>
      <c r="AS52" s="163"/>
      <c r="AT52" s="163"/>
      <c r="AU52" s="163"/>
      <c r="AV52" s="163"/>
      <c r="AW52" s="163"/>
      <c r="AX52" s="163"/>
      <c r="AY52" s="163"/>
      <c r="AZ52" s="163"/>
      <c r="BA52" s="163"/>
      <c r="BB52" s="163"/>
      <c r="BC52" s="172"/>
    </row>
    <row r="53" spans="1:55" ht="13.5">
      <c r="A53" s="163"/>
      <c r="B53" s="169"/>
      <c r="C53" s="203"/>
      <c r="D53" s="163"/>
      <c r="E53" s="163"/>
      <c r="F53" s="163"/>
      <c r="G53" s="163"/>
      <c r="H53" s="163"/>
      <c r="I53" s="163"/>
      <c r="J53" s="163"/>
      <c r="K53" s="203"/>
      <c r="L53" s="163"/>
      <c r="M53" s="172"/>
      <c r="O53" s="163"/>
      <c r="P53" s="169"/>
      <c r="Q53" s="203"/>
      <c r="R53" s="163"/>
      <c r="S53" s="163"/>
      <c r="T53" s="163"/>
      <c r="U53" s="163"/>
      <c r="V53" s="163"/>
      <c r="W53" s="163"/>
      <c r="X53" s="163"/>
      <c r="Y53" s="203"/>
      <c r="Z53" s="163"/>
      <c r="AA53" s="172"/>
      <c r="AD53" s="169"/>
      <c r="AE53" s="203"/>
      <c r="AF53" s="163"/>
      <c r="AG53" s="163"/>
      <c r="AH53" s="163"/>
      <c r="AI53" s="163"/>
      <c r="AJ53" s="163"/>
      <c r="AK53" s="163"/>
      <c r="AL53" s="163"/>
      <c r="AM53" s="203"/>
      <c r="AN53" s="163"/>
      <c r="AO53" s="172"/>
      <c r="AR53" s="169"/>
      <c r="AS53" s="203"/>
      <c r="AT53" s="163"/>
      <c r="AU53" s="163"/>
      <c r="AV53" s="163"/>
      <c r="AW53" s="163"/>
      <c r="AX53" s="163"/>
      <c r="AY53" s="163"/>
      <c r="AZ53" s="163"/>
      <c r="BA53" s="203"/>
      <c r="BB53" s="163"/>
      <c r="BC53" s="172"/>
    </row>
    <row r="54" spans="1:55" ht="15.75">
      <c r="A54" s="163"/>
      <c r="B54" s="204" t="s">
        <v>2733</v>
      </c>
      <c r="C54" s="205"/>
      <c r="D54" s="205"/>
      <c r="E54" s="205"/>
      <c r="F54" s="205"/>
      <c r="G54" s="205"/>
      <c r="H54" s="205"/>
      <c r="I54" s="205"/>
      <c r="J54" s="205"/>
      <c r="K54" s="205"/>
      <c r="L54" s="205"/>
      <c r="M54" s="206"/>
      <c r="O54" s="163"/>
      <c r="P54" s="204" t="str">
        <f>$B54</f>
        <v>©State of Queensland, 2024</v>
      </c>
      <c r="Q54" s="205"/>
      <c r="R54" s="205"/>
      <c r="S54" s="205"/>
      <c r="T54" s="205"/>
      <c r="U54" s="205"/>
      <c r="V54" s="205"/>
      <c r="W54" s="205"/>
      <c r="X54" s="205"/>
      <c r="Y54" s="205"/>
      <c r="Z54" s="205"/>
      <c r="AA54" s="206"/>
      <c r="AD54" s="204" t="str">
        <f>$B54</f>
        <v>©State of Queensland, 2024</v>
      </c>
      <c r="AE54" s="205"/>
      <c r="AF54" s="205"/>
      <c r="AG54" s="205"/>
      <c r="AH54" s="205"/>
      <c r="AI54" s="205"/>
      <c r="AJ54" s="205"/>
      <c r="AK54" s="205"/>
      <c r="AL54" s="205"/>
      <c r="AM54" s="205"/>
      <c r="AN54" s="205"/>
      <c r="AO54" s="206"/>
      <c r="AR54" s="204" t="str">
        <f>$B54</f>
        <v>©State of Queensland, 2024</v>
      </c>
      <c r="AS54" s="205"/>
      <c r="AT54" s="205"/>
      <c r="AU54" s="205"/>
      <c r="AV54" s="205"/>
      <c r="AW54" s="205"/>
      <c r="AX54" s="205"/>
      <c r="AY54" s="205"/>
      <c r="AZ54" s="205"/>
      <c r="BA54" s="205"/>
      <c r="BB54" s="205"/>
      <c r="BC54" s="206"/>
    </row>
    <row r="55" spans="1:55" ht="6" customHeight="1">
      <c r="A55" s="163"/>
      <c r="B55" s="163"/>
      <c r="C55" s="207"/>
      <c r="D55" s="207"/>
      <c r="E55" s="207"/>
      <c r="F55" s="207"/>
      <c r="G55" s="207"/>
      <c r="H55" s="207"/>
      <c r="I55" s="207"/>
      <c r="J55" s="207"/>
      <c r="K55" s="207"/>
      <c r="L55" s="207"/>
      <c r="M55" s="207"/>
      <c r="O55" s="163"/>
      <c r="P55" s="163"/>
      <c r="Q55" s="207"/>
      <c r="R55" s="207"/>
      <c r="S55" s="207"/>
      <c r="T55" s="207"/>
      <c r="U55" s="207"/>
      <c r="V55" s="207"/>
      <c r="W55" s="207"/>
      <c r="X55" s="207"/>
      <c r="Y55" s="207"/>
      <c r="Z55" s="207"/>
      <c r="AA55" s="207"/>
      <c r="AD55" s="163"/>
      <c r="AE55" s="207"/>
      <c r="AF55" s="207"/>
      <c r="AG55" s="207"/>
      <c r="AH55" s="207"/>
      <c r="AI55" s="207"/>
      <c r="AJ55" s="207"/>
      <c r="AK55" s="207"/>
      <c r="AL55" s="207"/>
      <c r="AM55" s="207"/>
      <c r="AN55" s="207"/>
      <c r="AO55" s="207"/>
      <c r="AR55" s="163"/>
      <c r="AS55" s="207"/>
      <c r="AT55" s="207"/>
      <c r="AU55" s="207"/>
      <c r="AV55" s="207"/>
      <c r="AW55" s="207"/>
      <c r="AX55" s="207"/>
      <c r="AY55" s="207"/>
      <c r="AZ55" s="207"/>
      <c r="BA55" s="207"/>
      <c r="BB55" s="207"/>
      <c r="BC55" s="207"/>
    </row>
    <row r="56" spans="1:55" ht="12.75">
      <c r="A56" s="163"/>
      <c r="B56" s="163"/>
      <c r="C56" s="163"/>
      <c r="D56" s="163"/>
      <c r="E56" s="163"/>
      <c r="F56" s="163"/>
      <c r="G56" s="163"/>
      <c r="H56" s="163"/>
      <c r="I56" s="163"/>
      <c r="J56" s="163"/>
      <c r="K56" s="163"/>
      <c r="L56" s="163"/>
      <c r="M56" s="163"/>
      <c r="O56" s="163"/>
      <c r="P56" s="163"/>
      <c r="Q56" s="163"/>
      <c r="R56" s="163"/>
      <c r="S56" s="163"/>
      <c r="T56" s="163"/>
      <c r="U56" s="163"/>
      <c r="V56" s="163"/>
      <c r="W56" s="163"/>
      <c r="X56" s="163"/>
      <c r="Y56" s="163"/>
      <c r="Z56" s="163"/>
      <c r="AA56" s="163"/>
      <c r="AD56" s="163"/>
      <c r="AE56" s="163"/>
      <c r="AF56" s="163"/>
      <c r="AG56" s="163"/>
      <c r="AH56" s="163"/>
      <c r="AI56" s="163"/>
      <c r="AJ56" s="163"/>
      <c r="AK56" s="163"/>
      <c r="AL56" s="163"/>
      <c r="AM56" s="163"/>
      <c r="AN56" s="163"/>
      <c r="AO56" s="163"/>
      <c r="AR56" s="163"/>
      <c r="AS56" s="163"/>
      <c r="AT56" s="163"/>
      <c r="AU56" s="163"/>
      <c r="AV56" s="163"/>
      <c r="AW56" s="163"/>
      <c r="AX56" s="163"/>
      <c r="AY56" s="163"/>
      <c r="AZ56" s="163"/>
      <c r="BA56" s="163"/>
      <c r="BB56" s="163"/>
      <c r="BC56" s="163"/>
    </row>
    <row r="57" spans="1:55" ht="12.75" hidden="1" customHeight="1"/>
    <row r="58" spans="1:55" ht="12.75" hidden="1" customHeight="1"/>
    <row r="59" spans="1:55" ht="12.75" hidden="1" customHeight="1"/>
    <row r="60" spans="1:55" ht="12.75" hidden="1" customHeight="1"/>
  </sheetData>
  <sheetProtection algorithmName="SHA-512" hashValue="T24dUKbuh9+Z7yrDpKoNcSeNRnHwLtYB5s2gkNTWfrFthSFXVcoPZdxghhxxcxOlLj7s6rYkqxrkBrO0hs3eRQ==" saltValue="rafSP0rY150508f2oBLKZA==" spinCount="100000" sheet="1" objects="1" scenarios="1" autoFilter="0"/>
  <hyperlinks>
    <hyperlink ref="C1" location="CONTENTS" display="Contents" xr:uid="{3C872FD2-CE05-4B3E-9329-BE6AF58895EF}"/>
  </hyperlinks>
  <pageMargins left="0.18" right="0.16" top="0.78" bottom="0.61" header="0.5" footer="0.5"/>
  <pageSetup paperSize="9" orientation="portrait" r:id="rId1"/>
  <headerFooter alignWithMargins="0"/>
  <colBreaks count="3" manualBreakCount="3">
    <brk id="14" max="1048575" man="1"/>
    <brk id="28" max="1048575" man="1"/>
    <brk id="42"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37201-D3FA-424B-A32D-69AE894BBDD8}">
  <sheetPr codeName="Sheet1">
    <tabColor theme="9" tint="-0.499984740745262"/>
  </sheetPr>
  <dimension ref="A2:DE45"/>
  <sheetViews>
    <sheetView showGridLines="0" zoomScaleNormal="100" workbookViewId="0">
      <pane xSplit="4" ySplit="8" topLeftCell="E9" activePane="bottomRight" state="frozen"/>
      <selection pane="topRight" activeCell="E1" sqref="E1"/>
      <selection pane="bottomLeft" activeCell="A9" sqref="A9"/>
      <selection pane="bottomRight"/>
    </sheetView>
  </sheetViews>
  <sheetFormatPr defaultColWidth="9.28515625" defaultRowHeight="12"/>
  <cols>
    <col min="1" max="1" width="1.42578125" style="494" customWidth="1"/>
    <col min="2" max="2" width="11.5703125" style="494" customWidth="1"/>
    <col min="3" max="3" width="69.5703125" style="494" bestFit="1" customWidth="1"/>
    <col min="4" max="4" width="64" style="497" customWidth="1"/>
    <col min="5" max="7" width="18.5703125" style="494" customWidth="1"/>
    <col min="8" max="8" width="7.28515625" style="494" customWidth="1"/>
    <col min="9" max="14" width="18.5703125" style="497" customWidth="1"/>
    <col min="15" max="42" width="18.5703125" style="494" customWidth="1"/>
    <col min="43" max="48" width="18.5703125" style="497" customWidth="1"/>
    <col min="49" max="109" width="18.5703125" style="494" customWidth="1"/>
    <col min="110" max="16384" width="9.28515625" style="494"/>
  </cols>
  <sheetData>
    <row r="2" spans="1:109" ht="16.350000000000001" customHeight="1">
      <c r="B2" s="225" t="str">
        <f>CONTENTS!$B$2</f>
        <v>Petroleum and Gas Estimated Rehabilitation Cost Calculator</v>
      </c>
      <c r="C2" s="496"/>
      <c r="D2" s="525"/>
      <c r="H2" s="497"/>
      <c r="J2" s="494"/>
      <c r="K2" s="494"/>
      <c r="L2" s="494"/>
      <c r="M2" s="494"/>
      <c r="N2" s="494"/>
      <c r="AR2" s="494"/>
      <c r="AS2" s="494"/>
      <c r="AT2" s="494"/>
      <c r="AU2" s="494"/>
      <c r="AV2" s="494"/>
    </row>
    <row r="3" spans="1:109" ht="19.350000000000001" customHeight="1">
      <c r="B3" s="20" t="s">
        <v>305</v>
      </c>
      <c r="C3" s="498" t="s">
        <v>1766</v>
      </c>
      <c r="D3" s="525"/>
      <c r="G3" s="497"/>
      <c r="H3" s="526" t="s">
        <v>1767</v>
      </c>
      <c r="I3" s="527">
        <f>VLOOKUP(I7,WellList_values_subs,Subrates!$D$1,FALSE)</f>
        <v>479.88452763824785</v>
      </c>
      <c r="J3" s="527">
        <f>VLOOKUP(J7,WellList_values_subs,Subrates!$D$1,FALSE)</f>
        <v>1397.1485253123592</v>
      </c>
      <c r="K3" s="527">
        <f>VLOOKUP(K7,WellList_values_subs,Subrates!$D$1,FALSE)</f>
        <v>9249.1686491555829</v>
      </c>
      <c r="L3" s="527">
        <f>VLOOKUP(L7,WellList_values_subs,Subrates!$D$1,FALSE)</f>
        <v>12079.23665461145</v>
      </c>
      <c r="M3" s="527">
        <f>VLOOKUP(M7,WellList_values_subs,Subrates!$D$1,FALSE)</f>
        <v>17630.945978575393</v>
      </c>
      <c r="N3" s="527">
        <f>VLOOKUP(N7,WellList_values_subs,Subrates!$D$1,FALSE)</f>
        <v>14287.484377387667</v>
      </c>
      <c r="O3" s="527">
        <f>VLOOKUP(O7,WellList_values_subs,Subrates!$D$1,FALSE)</f>
        <v>2968.4616011877265</v>
      </c>
      <c r="P3" s="527">
        <f>VLOOKUP(P7,WellList_values_subs,Subrates!$D$1,FALSE)</f>
        <v>479.88452763824785</v>
      </c>
      <c r="Q3" s="527">
        <f>VLOOKUP(Q7,WellList_values_subs,Subrates!$D$1,FALSE)</f>
        <v>542.21651059099804</v>
      </c>
      <c r="R3" s="527">
        <f>VLOOKUP(R7,WellList_values_subs,Subrates!$D$1,FALSE)</f>
        <v>3268.4482662316937</v>
      </c>
      <c r="S3" s="527">
        <f>VLOOKUP(S7,WellList_values_subs,Subrates!$D$1,FALSE)</f>
        <v>5119.8990719411167</v>
      </c>
      <c r="T3" s="527">
        <f>VLOOKUP(T7,WellList_values_subs,Subrates!$D$1,FALSE)</f>
        <v>3268.4482662316937</v>
      </c>
      <c r="U3" s="527">
        <f>VLOOKUP(U7,WellList_values_subs,Subrates!$D$1,FALSE)</f>
        <v>7755.3211029811491</v>
      </c>
      <c r="V3" s="527">
        <f>VLOOKUP(V7,WellList_values_subs,Subrates!$D$1,FALSE)</f>
        <v>11801.888344846031</v>
      </c>
      <c r="W3" s="527">
        <f>VLOOKUP(W7,WellList_values_subs,Subrates!$D$1,FALSE)</f>
        <v>479.88452763824785</v>
      </c>
      <c r="X3" s="527">
        <f>VLOOKUP(X7,WellList_values_subs,Subrates!$D$1,FALSE)</f>
        <v>1474.501517474911</v>
      </c>
      <c r="Y3" s="527">
        <f>VLOOKUP(Y7,WellList_values_subs,Subrates!$D$1,FALSE)</f>
        <v>8267.9491940787648</v>
      </c>
      <c r="Z3" s="527">
        <f>VLOOKUP(Z7,WellList_values_subs,Subrates!$D$1,FALSE)</f>
        <v>10324.518749561234</v>
      </c>
      <c r="AA3" s="527">
        <f>VLOOKUP(AA7,WellList_values_subs,Subrates!$D$1,FALSE)</f>
        <v>7405.0395475953992</v>
      </c>
      <c r="AB3" s="527">
        <f>VLOOKUP(AB7,WellList_values_subs,Subrates!$D$1,FALSE)</f>
        <v>20767.819494737232</v>
      </c>
      <c r="AC3" s="527">
        <f>VLOOKUP(AC7,WellList_values_subs,Subrates!$D$1,FALSE)</f>
        <v>11122.03667992221</v>
      </c>
      <c r="AD3" s="527">
        <f>VLOOKUP(AD7,WellList_values_subs,Subrates!$D$1,FALSE)</f>
        <v>35522.707733594871</v>
      </c>
      <c r="AE3" s="527">
        <f>VLOOKUP(AE7,WellList_values_subs,Subrates!$D$1,FALSE)</f>
        <v>20090.524640588141</v>
      </c>
      <c r="AF3" s="527">
        <f>VLOOKUP(AF7,WellList_values_subs,Subrates!$D$1,FALSE)</f>
        <v>479.88452763824785</v>
      </c>
      <c r="AG3" s="527">
        <f>VLOOKUP(AG7,WellList_values_subs,Subrates!$D$1,FALSE)</f>
        <v>1474.501517474911</v>
      </c>
      <c r="AH3" s="527">
        <f>VLOOKUP(AH7,WellList_values_subs,Subrates!$D$1,FALSE)</f>
        <v>8267.9491940787648</v>
      </c>
      <c r="AI3" s="527">
        <f>VLOOKUP(AI7,WellList_values_subs,Subrates!$D$1,FALSE)</f>
        <v>10324.518749561235</v>
      </c>
      <c r="AJ3" s="527">
        <f>VLOOKUP(AJ7,WellList_values_subs,Subrates!$D$1,FALSE)</f>
        <v>7245.6103748950773</v>
      </c>
      <c r="AK3" s="527">
        <f>VLOOKUP(AK7,WellList_values_subs,Subrates!$D$1,FALSE)</f>
        <v>10776.34394491883</v>
      </c>
      <c r="AL3" s="527">
        <f>VLOOKUP(AL7,WellList_values_subs,Subrates!$D$1,FALSE)</f>
        <v>19597.001854397993</v>
      </c>
      <c r="AM3" s="527">
        <f>VLOOKUP(AM7,WellList_coreholes_values_subs,Subrates!$D$1,FALSE)</f>
        <v>13.78133807486148</v>
      </c>
      <c r="AN3" s="527">
        <f>VLOOKUP(AN7,WellList_coreholes_values_subs,Subrates!$D$1,FALSE)</f>
        <v>13.78133807486148</v>
      </c>
      <c r="AO3" s="527">
        <f>VLOOKUP(AO7,WellList_coreholes_values_subs,Subrates!$D$1,FALSE)</f>
        <v>13.78133807486148</v>
      </c>
      <c r="AP3" s="526" t="s">
        <v>141</v>
      </c>
      <c r="AQ3" s="527">
        <f>VLOOKUP(AQ$7,WellList_values_subs,Subrates!$E$1,FALSE)</f>
        <v>500000</v>
      </c>
      <c r="AR3" s="527">
        <f>VLOOKUP(AR$7,WellList_values_subs,Subrates!$E$1,FALSE)</f>
        <v>331.25</v>
      </c>
      <c r="AS3" s="527">
        <f>VLOOKUP(AS$7,WellList_values_subs,Subrates!$E$1,FALSE)</f>
        <v>375</v>
      </c>
      <c r="AT3" s="527">
        <f>VLOOKUP(AT$7,WellList_values_subs,Subrates!$E$1,FALSE)</f>
        <v>375</v>
      </c>
      <c r="AU3" s="527">
        <f>VLOOKUP(AU$7,WellList_values_subs,Subrates!$E$1,FALSE)</f>
        <v>550</v>
      </c>
      <c r="AV3" s="527">
        <f>VLOOKUP(AV$7,WellList_values_subs,Subrates!$E$1,FALSE)</f>
        <v>550</v>
      </c>
      <c r="AW3" s="527">
        <f>VLOOKUP(AW$7,WellList_values_subs,Subrates!$E$1,FALSE)</f>
        <v>375</v>
      </c>
      <c r="AX3" s="527">
        <f>VLOOKUP(AX$7,WellList_values_subs,Subrates!$E$1,FALSE)</f>
        <v>500000</v>
      </c>
      <c r="AY3" s="527">
        <f>VLOOKUP(AY$7,WellList_values_subs,Subrates!$E$1,FALSE)</f>
        <v>1500</v>
      </c>
      <c r="AZ3" s="527">
        <f>VLOOKUP(AZ$7,WellList_values_subs,Subrates!$E$1,FALSE)</f>
        <v>1500</v>
      </c>
      <c r="BA3" s="527">
        <f>VLOOKUP(BA$7,WellList_values_subs,Subrates!$E$1,FALSE)</f>
        <v>375</v>
      </c>
      <c r="BB3" s="527">
        <f>VLOOKUP(BB$7,WellList_values_subs,Subrates!$E$1,FALSE)</f>
        <v>1500</v>
      </c>
      <c r="BC3" s="527">
        <f>VLOOKUP(BC$7,WellList_values_subs,Subrates!$E$1,FALSE)</f>
        <v>6444.9582570484363</v>
      </c>
      <c r="BD3" s="527">
        <f>VLOOKUP(BD$7,WellList_values_subs,Subrates!$E$1,FALSE)</f>
        <v>1777</v>
      </c>
      <c r="BE3" s="527">
        <f>VLOOKUP(BE$7,WellList_values_subs,Subrates!$E$1,FALSE)</f>
        <v>500000</v>
      </c>
      <c r="BF3" s="527">
        <f>VLOOKUP(BF$7,WellList_values_subs,Subrates!$E$1,FALSE)</f>
        <v>6400</v>
      </c>
      <c r="BG3" s="527">
        <f>VLOOKUP(BG$7,WellList_values_subs,Subrates!$E$1,FALSE)</f>
        <v>9200</v>
      </c>
      <c r="BH3" s="527">
        <f>VLOOKUP(BH$7,WellList_values_subs,Subrates!$E$1,FALSE)</f>
        <v>5142.9582570484363</v>
      </c>
      <c r="BI3" s="527">
        <f>VLOOKUP(BI$7,WellList_values_subs,Subrates!$E$1,FALSE)</f>
        <v>12000</v>
      </c>
      <c r="BJ3" s="527">
        <f>VLOOKUP(BJ$7,WellList_values_subs,Subrates!$E$1,FALSE)</f>
        <v>5242.9582570484363</v>
      </c>
      <c r="BK3" s="527">
        <f>VLOOKUP(BK$7,WellList_values_subs,Subrates!$E$1,FALSE)</f>
        <v>5842.9582570484372</v>
      </c>
      <c r="BL3" s="527">
        <f>VLOOKUP(BL$7,WellList_values_subs,Subrates!$E$1,FALSE)</f>
        <v>5282.9582570484363</v>
      </c>
      <c r="BM3" s="527">
        <f>VLOOKUP(BM$7,WellList_values_subs,Subrates!$E$1,FALSE)</f>
        <v>5709.6249237151033</v>
      </c>
      <c r="BN3" s="527">
        <f>VLOOKUP(BN$7,WellList_values_subs,Subrates!$E$1,FALSE)</f>
        <v>500000</v>
      </c>
      <c r="BO3" s="527">
        <f>VLOOKUP(BO$7,WellList_values_subs,Subrates!$E$1,FALSE)</f>
        <v>133.33333333333334</v>
      </c>
      <c r="BP3" s="527">
        <f>VLOOKUP(BP$7,WellList_values_subs,Subrates!$E$1,FALSE)</f>
        <v>250</v>
      </c>
      <c r="BQ3" s="527">
        <f>VLOOKUP(BQ$7,WellList_values_subs,Subrates!$E$1,FALSE)</f>
        <v>5026.2915903817693</v>
      </c>
      <c r="BR3" s="527">
        <f>VLOOKUP(BR$7,WellList_values_subs,Subrates!$E$1,FALSE)</f>
        <v>766.66666666666663</v>
      </c>
      <c r="BS3" s="527">
        <f>VLOOKUP(BS$7,WellList_values_subs,Subrates!$E$1,FALSE)</f>
        <v>5242.9582570484363</v>
      </c>
      <c r="BT3" s="527">
        <f>VLOOKUP(BT$7,WellList_values_subs,Subrates!$E$1,FALSE)</f>
        <v>5709.6249237151033</v>
      </c>
      <c r="BU3" s="527">
        <f>VLOOKUP(BU$7,WellList_coreholes_values_subs,Subrates!$E$1,FALSE)</f>
        <v>30000</v>
      </c>
      <c r="BV3" s="527">
        <f>VLOOKUP(BV$7,WellList_coreholes_values_subs,Subrates!$E$1,FALSE)</f>
        <v>30000</v>
      </c>
      <c r="BW3" s="527">
        <f>VLOOKUP(BW$7,WellList_coreholes_values_subs,Subrates!$E$1,FALSE)</f>
        <v>30000</v>
      </c>
      <c r="BX3" s="526" t="s">
        <v>1768</v>
      </c>
      <c r="BY3" s="527">
        <f>VLOOKUP(AQ$7,WellList_values_subs,Subrates!$F$1,FALSE)</f>
        <v>0</v>
      </c>
      <c r="BZ3" s="527">
        <f>VLOOKUP(AR$7,WellList_values_subs,Subrates!$F$1,FALSE)</f>
        <v>131.25</v>
      </c>
      <c r="CA3" s="527">
        <f>VLOOKUP(AS$7,WellList_values_subs,Subrates!$F$1,FALSE)</f>
        <v>175</v>
      </c>
      <c r="CB3" s="527">
        <f>VLOOKUP(AT$7,WellList_values_subs,Subrates!$F$1,FALSE)</f>
        <v>175</v>
      </c>
      <c r="CC3" s="527">
        <f>VLOOKUP(AU$7,WellList_values_subs,Subrates!$F$1,FALSE)</f>
        <v>350</v>
      </c>
      <c r="CD3" s="527">
        <f>VLOOKUP(AV$7,WellList_values_subs,Subrates!$F$1,FALSE)</f>
        <v>350</v>
      </c>
      <c r="CE3" s="527">
        <f>VLOOKUP(AW$7,WellList_values_subs,Subrates!$F$1,FALSE)</f>
        <v>175</v>
      </c>
      <c r="CF3" s="527">
        <f>VLOOKUP(AX$7,WellList_values_subs,Subrates!$F$1,FALSE)</f>
        <v>0</v>
      </c>
      <c r="CG3" s="527">
        <f>VLOOKUP(AY$7,WellList_values_subs,Subrates!$F$1,FALSE)</f>
        <v>700</v>
      </c>
      <c r="CH3" s="527">
        <f>VLOOKUP(AZ$7,WellList_values_subs,Subrates!$F$1,FALSE)</f>
        <v>700</v>
      </c>
      <c r="CI3" s="527">
        <f>VLOOKUP(BA$7,WellList_values_subs,Subrates!$F$1,FALSE)</f>
        <v>175</v>
      </c>
      <c r="CJ3" s="527">
        <f>VLOOKUP(BB$7,WellList_values_subs,Subrates!$F$1,FALSE)</f>
        <v>700</v>
      </c>
      <c r="CK3" s="527">
        <f>VLOOKUP(BC$7,WellList_values_subs,Subrates!$F$1,FALSE)</f>
        <v>1400</v>
      </c>
      <c r="CL3" s="527">
        <f>VLOOKUP(BD$7,WellList_values_subs,Subrates!$F$1,FALSE)</f>
        <v>1575</v>
      </c>
      <c r="CM3" s="527">
        <f>VLOOKUP(BE$7,WellList_values_subs,Subrates!$F$1,FALSE)</f>
        <v>0</v>
      </c>
      <c r="CN3" s="527">
        <f>VLOOKUP(BF$7,WellList_values_subs,Subrates!$F$1,FALSE)</f>
        <v>0</v>
      </c>
      <c r="CO3" s="527">
        <f>VLOOKUP(BG$7,WellList_values_subs,Subrates!$F$1,FALSE)</f>
        <v>2800</v>
      </c>
      <c r="CP3" s="527">
        <f>VLOOKUP(BH$7,WellList_values_subs,Subrates!$F$1,FALSE)</f>
        <v>233.33333333333334</v>
      </c>
      <c r="CQ3" s="527">
        <f>VLOOKUP(BI$7,WellList_values_subs,Subrates!$F$1,FALSE)</f>
        <v>5600</v>
      </c>
      <c r="CR3" s="527">
        <f>VLOOKUP(BJ$7,WellList_values_subs,Subrates!$F$1,FALSE)</f>
        <v>466.66666666666669</v>
      </c>
      <c r="CS3" s="527">
        <f>VLOOKUP(BK$7,WellList_values_subs,Subrates!$F$1,FALSE)</f>
        <v>933.33333333333337</v>
      </c>
      <c r="CT3" s="527">
        <f>VLOOKUP(BL$7,WellList_values_subs,Subrates!$F$1,FALSE)</f>
        <v>560</v>
      </c>
      <c r="CU3" s="527">
        <f>VLOOKUP(BM$7,WellList_values_subs,Subrates!$F$1,FALSE)</f>
        <v>933.33333333333337</v>
      </c>
      <c r="CV3" s="527">
        <f>VLOOKUP(BN$7,WellList_values_subs,Subrates!$F$1,FALSE)</f>
        <v>0</v>
      </c>
      <c r="CW3" s="527">
        <f>VLOOKUP(BO$7,WellList_values_subs,Subrates!$F$1,FALSE)</f>
        <v>0</v>
      </c>
      <c r="CX3" s="527">
        <f>VLOOKUP(BP$7,WellList_values_subs,Subrates!$F$1,FALSE)</f>
        <v>116.66666666666667</v>
      </c>
      <c r="CY3" s="527">
        <f>VLOOKUP(BQ$7,WellList_values_subs,Subrates!$F$1,FALSE)</f>
        <v>116.66666666666667</v>
      </c>
      <c r="CZ3" s="527">
        <f>VLOOKUP(BR$7,WellList_values_subs,Subrates!$F$1,FALSE)</f>
        <v>233.33333333333334</v>
      </c>
      <c r="DA3" s="527">
        <f>VLOOKUP(BS$7,WellList_values_subs,Subrates!$F$1,FALSE)</f>
        <v>466.66666666666669</v>
      </c>
      <c r="DB3" s="527">
        <f>VLOOKUP(BT$7,WellList_values_subs,Subrates!$F$1,FALSE)</f>
        <v>933.33333333333337</v>
      </c>
      <c r="DC3" s="527">
        <f>VLOOKUP(BU$7,WellList_coreholes_values_subs,Subrates!$F$1,FALSE)</f>
        <v>0</v>
      </c>
      <c r="DD3" s="527">
        <f>VLOOKUP(BV$7,WellList_coreholes_values_subs,Subrates!$F$1,FALSE)</f>
        <v>0</v>
      </c>
      <c r="DE3" s="527">
        <f>VLOOKUP(BW$7,WellList_coreholes_values_subs,Subrates!$F$1,FALSE)</f>
        <v>0</v>
      </c>
    </row>
    <row r="4" spans="1:109" ht="19.350000000000001" customHeight="1">
      <c r="B4" s="525" t="s">
        <v>1769</v>
      </c>
      <c r="C4" s="502">
        <f>SUM(I5:DE5)</f>
        <v>0</v>
      </c>
      <c r="D4" s="525"/>
      <c r="E4" s="524">
        <f>SUM(E8:E44)</f>
        <v>0</v>
      </c>
      <c r="F4" s="514">
        <f>SUM(F8:F44)</f>
        <v>0</v>
      </c>
      <c r="G4" s="497"/>
      <c r="H4" s="526" t="s">
        <v>80</v>
      </c>
      <c r="I4" s="524">
        <f t="shared" ref="I4:J4" si="0">SUM(I8:I44)</f>
        <v>0</v>
      </c>
      <c r="J4" s="524">
        <f t="shared" si="0"/>
        <v>0</v>
      </c>
      <c r="K4" s="524">
        <f t="shared" ref="K4:Q4" si="1">SUM(K8:K44)</f>
        <v>0</v>
      </c>
      <c r="L4" s="524">
        <f t="shared" si="1"/>
        <v>0</v>
      </c>
      <c r="M4" s="524">
        <f t="shared" si="1"/>
        <v>0</v>
      </c>
      <c r="N4" s="524">
        <f t="shared" si="1"/>
        <v>0</v>
      </c>
      <c r="O4" s="524">
        <f t="shared" si="1"/>
        <v>0</v>
      </c>
      <c r="P4" s="524">
        <f t="shared" si="1"/>
        <v>0</v>
      </c>
      <c r="Q4" s="524">
        <f t="shared" si="1"/>
        <v>0</v>
      </c>
      <c r="R4" s="524">
        <f t="shared" ref="R4:AO4" si="2">SUM(R8:R44)</f>
        <v>0</v>
      </c>
      <c r="S4" s="524">
        <f t="shared" si="2"/>
        <v>0</v>
      </c>
      <c r="T4" s="524">
        <f t="shared" si="2"/>
        <v>0</v>
      </c>
      <c r="U4" s="524">
        <f t="shared" si="2"/>
        <v>0</v>
      </c>
      <c r="V4" s="524">
        <f t="shared" si="2"/>
        <v>0</v>
      </c>
      <c r="W4" s="524">
        <f t="shared" si="2"/>
        <v>0</v>
      </c>
      <c r="X4" s="524">
        <f t="shared" si="2"/>
        <v>0</v>
      </c>
      <c r="Y4" s="524">
        <f t="shared" si="2"/>
        <v>0</v>
      </c>
      <c r="Z4" s="524">
        <f t="shared" si="2"/>
        <v>0</v>
      </c>
      <c r="AA4" s="524">
        <f t="shared" si="2"/>
        <v>0</v>
      </c>
      <c r="AB4" s="524">
        <f t="shared" si="2"/>
        <v>0</v>
      </c>
      <c r="AC4" s="524">
        <f t="shared" si="2"/>
        <v>0</v>
      </c>
      <c r="AD4" s="524">
        <f t="shared" si="2"/>
        <v>0</v>
      </c>
      <c r="AE4" s="524">
        <f t="shared" si="2"/>
        <v>0</v>
      </c>
      <c r="AF4" s="524">
        <f t="shared" si="2"/>
        <v>0</v>
      </c>
      <c r="AG4" s="524">
        <f t="shared" si="2"/>
        <v>0</v>
      </c>
      <c r="AH4" s="524">
        <f t="shared" si="2"/>
        <v>0</v>
      </c>
      <c r="AI4" s="524">
        <f t="shared" si="2"/>
        <v>0</v>
      </c>
      <c r="AJ4" s="524">
        <f t="shared" si="2"/>
        <v>0</v>
      </c>
      <c r="AK4" s="524">
        <f t="shared" si="2"/>
        <v>0</v>
      </c>
      <c r="AL4" s="524">
        <f t="shared" si="2"/>
        <v>0</v>
      </c>
      <c r="AM4" s="524">
        <f t="shared" si="2"/>
        <v>0</v>
      </c>
      <c r="AN4" s="524">
        <f t="shared" si="2"/>
        <v>0</v>
      </c>
      <c r="AO4" s="524">
        <f t="shared" si="2"/>
        <v>0</v>
      </c>
      <c r="AP4" s="526" t="s">
        <v>1770</v>
      </c>
      <c r="AQ4" s="528">
        <f t="shared" ref="AQ4" si="3">SUM(AQ9:AQ43)</f>
        <v>0</v>
      </c>
      <c r="AR4" s="528">
        <f t="shared" ref="AR4:BW4" si="4">SUM(AR9:AR43)</f>
        <v>0</v>
      </c>
      <c r="AS4" s="528">
        <f t="shared" si="4"/>
        <v>0</v>
      </c>
      <c r="AT4" s="528">
        <f t="shared" si="4"/>
        <v>0</v>
      </c>
      <c r="AU4" s="528">
        <f t="shared" si="4"/>
        <v>0</v>
      </c>
      <c r="AV4" s="528">
        <f t="shared" si="4"/>
        <v>0</v>
      </c>
      <c r="AW4" s="528">
        <f t="shared" si="4"/>
        <v>0</v>
      </c>
      <c r="AX4" s="528">
        <f t="shared" si="4"/>
        <v>0</v>
      </c>
      <c r="AY4" s="528">
        <f t="shared" si="4"/>
        <v>0</v>
      </c>
      <c r="AZ4" s="528">
        <f t="shared" si="4"/>
        <v>0</v>
      </c>
      <c r="BA4" s="528">
        <f t="shared" si="4"/>
        <v>0</v>
      </c>
      <c r="BB4" s="528">
        <f t="shared" si="4"/>
        <v>0</v>
      </c>
      <c r="BC4" s="528">
        <f t="shared" si="4"/>
        <v>0</v>
      </c>
      <c r="BD4" s="528">
        <f t="shared" si="4"/>
        <v>0</v>
      </c>
      <c r="BE4" s="528">
        <f t="shared" si="4"/>
        <v>0</v>
      </c>
      <c r="BF4" s="528">
        <f t="shared" si="4"/>
        <v>0</v>
      </c>
      <c r="BG4" s="528">
        <f t="shared" si="4"/>
        <v>0</v>
      </c>
      <c r="BH4" s="528">
        <f t="shared" si="4"/>
        <v>0</v>
      </c>
      <c r="BI4" s="528">
        <f t="shared" si="4"/>
        <v>0</v>
      </c>
      <c r="BJ4" s="528">
        <f t="shared" si="4"/>
        <v>0</v>
      </c>
      <c r="BK4" s="528">
        <f t="shared" si="4"/>
        <v>0</v>
      </c>
      <c r="BL4" s="528">
        <f t="shared" si="4"/>
        <v>0</v>
      </c>
      <c r="BM4" s="528">
        <f t="shared" si="4"/>
        <v>0</v>
      </c>
      <c r="BN4" s="528">
        <f t="shared" si="4"/>
        <v>0</v>
      </c>
      <c r="BO4" s="528">
        <f t="shared" si="4"/>
        <v>0</v>
      </c>
      <c r="BP4" s="528">
        <f t="shared" si="4"/>
        <v>0</v>
      </c>
      <c r="BQ4" s="528">
        <f t="shared" si="4"/>
        <v>0</v>
      </c>
      <c r="BR4" s="528">
        <f t="shared" si="4"/>
        <v>0</v>
      </c>
      <c r="BS4" s="528">
        <f t="shared" si="4"/>
        <v>0</v>
      </c>
      <c r="BT4" s="528">
        <f t="shared" si="4"/>
        <v>0</v>
      </c>
      <c r="BU4" s="528">
        <f t="shared" si="4"/>
        <v>0</v>
      </c>
      <c r="BV4" s="528">
        <f t="shared" si="4"/>
        <v>0</v>
      </c>
      <c r="BW4" s="528">
        <f t="shared" si="4"/>
        <v>0</v>
      </c>
      <c r="BX4" s="526" t="s">
        <v>1771</v>
      </c>
      <c r="BY4" s="528">
        <f t="shared" ref="BY4" si="5">SUM(BY9:BY43)</f>
        <v>0</v>
      </c>
      <c r="BZ4" s="528">
        <f t="shared" ref="BZ4:DB4" si="6">SUM(BZ9:BZ43)</f>
        <v>0</v>
      </c>
      <c r="CA4" s="528">
        <f t="shared" si="6"/>
        <v>0</v>
      </c>
      <c r="CB4" s="528">
        <f t="shared" si="6"/>
        <v>0</v>
      </c>
      <c r="CC4" s="528">
        <f t="shared" si="6"/>
        <v>0</v>
      </c>
      <c r="CD4" s="528">
        <f t="shared" si="6"/>
        <v>0</v>
      </c>
      <c r="CE4" s="528">
        <f t="shared" si="6"/>
        <v>0</v>
      </c>
      <c r="CF4" s="528">
        <f t="shared" si="6"/>
        <v>0</v>
      </c>
      <c r="CG4" s="528">
        <f t="shared" si="6"/>
        <v>0</v>
      </c>
      <c r="CH4" s="528">
        <f t="shared" si="6"/>
        <v>0</v>
      </c>
      <c r="CI4" s="528">
        <f t="shared" si="6"/>
        <v>0</v>
      </c>
      <c r="CJ4" s="528">
        <f t="shared" si="6"/>
        <v>0</v>
      </c>
      <c r="CK4" s="528">
        <f t="shared" si="6"/>
        <v>0</v>
      </c>
      <c r="CL4" s="528">
        <f t="shared" si="6"/>
        <v>0</v>
      </c>
      <c r="CM4" s="528">
        <f t="shared" si="6"/>
        <v>0</v>
      </c>
      <c r="CN4" s="528">
        <f t="shared" si="6"/>
        <v>0</v>
      </c>
      <c r="CO4" s="528">
        <f t="shared" si="6"/>
        <v>0</v>
      </c>
      <c r="CP4" s="528">
        <f t="shared" si="6"/>
        <v>0</v>
      </c>
      <c r="CQ4" s="528">
        <f t="shared" si="6"/>
        <v>0</v>
      </c>
      <c r="CR4" s="528">
        <f t="shared" si="6"/>
        <v>0</v>
      </c>
      <c r="CS4" s="528">
        <f t="shared" si="6"/>
        <v>0</v>
      </c>
      <c r="CT4" s="528">
        <f t="shared" si="6"/>
        <v>0</v>
      </c>
      <c r="CU4" s="528">
        <f t="shared" si="6"/>
        <v>0</v>
      </c>
      <c r="CV4" s="528">
        <f t="shared" si="6"/>
        <v>0</v>
      </c>
      <c r="CW4" s="528">
        <f t="shared" si="6"/>
        <v>0</v>
      </c>
      <c r="CX4" s="528">
        <f t="shared" si="6"/>
        <v>0</v>
      </c>
      <c r="CY4" s="528">
        <f t="shared" si="6"/>
        <v>0</v>
      </c>
      <c r="CZ4" s="528">
        <f t="shared" si="6"/>
        <v>0</v>
      </c>
      <c r="DA4" s="528">
        <f t="shared" si="6"/>
        <v>0</v>
      </c>
      <c r="DB4" s="528">
        <f t="shared" si="6"/>
        <v>0</v>
      </c>
      <c r="DC4" s="528">
        <f t="shared" ref="DC4:DE4" si="7">SUM(DC9:DC43)</f>
        <v>0</v>
      </c>
      <c r="DD4" s="528">
        <f t="shared" si="7"/>
        <v>0</v>
      </c>
      <c r="DE4" s="528">
        <f t="shared" si="7"/>
        <v>0</v>
      </c>
    </row>
    <row r="5" spans="1:109" ht="19.350000000000001" customHeight="1">
      <c r="B5" s="525" t="s">
        <v>1726</v>
      </c>
      <c r="C5" s="502">
        <f>ERC</f>
        <v>0</v>
      </c>
      <c r="D5" s="529"/>
      <c r="E5" s="497"/>
      <c r="F5" s="497"/>
      <c r="G5" s="530"/>
      <c r="H5" s="526" t="s">
        <v>1772</v>
      </c>
      <c r="I5" s="531">
        <f t="shared" ref="I5:J5" si="8">I4*I3</f>
        <v>0</v>
      </c>
      <c r="J5" s="531">
        <f t="shared" si="8"/>
        <v>0</v>
      </c>
      <c r="K5" s="531">
        <f t="shared" ref="K5:Q5" si="9">K4*K3</f>
        <v>0</v>
      </c>
      <c r="L5" s="531">
        <f t="shared" si="9"/>
        <v>0</v>
      </c>
      <c r="M5" s="531">
        <f t="shared" si="9"/>
        <v>0</v>
      </c>
      <c r="N5" s="531">
        <f t="shared" si="9"/>
        <v>0</v>
      </c>
      <c r="O5" s="531">
        <f t="shared" si="9"/>
        <v>0</v>
      </c>
      <c r="P5" s="531">
        <f t="shared" si="9"/>
        <v>0</v>
      </c>
      <c r="Q5" s="531">
        <f t="shared" si="9"/>
        <v>0</v>
      </c>
      <c r="R5" s="531">
        <f t="shared" ref="R5:AO5" si="10">R4*R3</f>
        <v>0</v>
      </c>
      <c r="S5" s="531">
        <f t="shared" si="10"/>
        <v>0</v>
      </c>
      <c r="T5" s="531">
        <f t="shared" si="10"/>
        <v>0</v>
      </c>
      <c r="U5" s="531">
        <f t="shared" si="10"/>
        <v>0</v>
      </c>
      <c r="V5" s="531">
        <f t="shared" si="10"/>
        <v>0</v>
      </c>
      <c r="W5" s="531">
        <f t="shared" si="10"/>
        <v>0</v>
      </c>
      <c r="X5" s="531">
        <f t="shared" si="10"/>
        <v>0</v>
      </c>
      <c r="Y5" s="531">
        <f t="shared" si="10"/>
        <v>0</v>
      </c>
      <c r="Z5" s="531">
        <f t="shared" si="10"/>
        <v>0</v>
      </c>
      <c r="AA5" s="531">
        <f t="shared" si="10"/>
        <v>0</v>
      </c>
      <c r="AB5" s="531">
        <f t="shared" si="10"/>
        <v>0</v>
      </c>
      <c r="AC5" s="531">
        <f t="shared" si="10"/>
        <v>0</v>
      </c>
      <c r="AD5" s="531">
        <f t="shared" si="10"/>
        <v>0</v>
      </c>
      <c r="AE5" s="531">
        <f t="shared" si="10"/>
        <v>0</v>
      </c>
      <c r="AF5" s="531">
        <f t="shared" si="10"/>
        <v>0</v>
      </c>
      <c r="AG5" s="531">
        <f t="shared" si="10"/>
        <v>0</v>
      </c>
      <c r="AH5" s="531">
        <f t="shared" si="10"/>
        <v>0</v>
      </c>
      <c r="AI5" s="531">
        <f t="shared" si="10"/>
        <v>0</v>
      </c>
      <c r="AJ5" s="531">
        <f t="shared" si="10"/>
        <v>0</v>
      </c>
      <c r="AK5" s="531">
        <f t="shared" si="10"/>
        <v>0</v>
      </c>
      <c r="AL5" s="531">
        <f t="shared" si="10"/>
        <v>0</v>
      </c>
      <c r="AM5" s="531">
        <f t="shared" si="10"/>
        <v>0</v>
      </c>
      <c r="AN5" s="531">
        <f t="shared" si="10"/>
        <v>0</v>
      </c>
      <c r="AO5" s="531">
        <f t="shared" si="10"/>
        <v>0</v>
      </c>
      <c r="AP5" s="526" t="s">
        <v>1773</v>
      </c>
      <c r="AQ5" s="531">
        <f>AQ4*AQ3</f>
        <v>0</v>
      </c>
      <c r="AR5" s="531">
        <f t="shared" ref="AR5:BW5" si="11">AR4*AR3</f>
        <v>0</v>
      </c>
      <c r="AS5" s="531">
        <f t="shared" si="11"/>
        <v>0</v>
      </c>
      <c r="AT5" s="531">
        <f t="shared" si="11"/>
        <v>0</v>
      </c>
      <c r="AU5" s="531">
        <f t="shared" si="11"/>
        <v>0</v>
      </c>
      <c r="AV5" s="531">
        <f t="shared" si="11"/>
        <v>0</v>
      </c>
      <c r="AW5" s="531">
        <f t="shared" si="11"/>
        <v>0</v>
      </c>
      <c r="AX5" s="531">
        <f t="shared" si="11"/>
        <v>0</v>
      </c>
      <c r="AY5" s="531">
        <f t="shared" si="11"/>
        <v>0</v>
      </c>
      <c r="AZ5" s="531">
        <f t="shared" si="11"/>
        <v>0</v>
      </c>
      <c r="BA5" s="531">
        <f t="shared" si="11"/>
        <v>0</v>
      </c>
      <c r="BB5" s="531">
        <f t="shared" si="11"/>
        <v>0</v>
      </c>
      <c r="BC5" s="531">
        <f t="shared" si="11"/>
        <v>0</v>
      </c>
      <c r="BD5" s="531">
        <f t="shared" si="11"/>
        <v>0</v>
      </c>
      <c r="BE5" s="531">
        <f t="shared" si="11"/>
        <v>0</v>
      </c>
      <c r="BF5" s="531">
        <f t="shared" si="11"/>
        <v>0</v>
      </c>
      <c r="BG5" s="531">
        <f t="shared" si="11"/>
        <v>0</v>
      </c>
      <c r="BH5" s="531">
        <f t="shared" si="11"/>
        <v>0</v>
      </c>
      <c r="BI5" s="531">
        <f t="shared" si="11"/>
        <v>0</v>
      </c>
      <c r="BJ5" s="531">
        <f t="shared" si="11"/>
        <v>0</v>
      </c>
      <c r="BK5" s="531">
        <f t="shared" si="11"/>
        <v>0</v>
      </c>
      <c r="BL5" s="531">
        <f t="shared" si="11"/>
        <v>0</v>
      </c>
      <c r="BM5" s="531">
        <f t="shared" si="11"/>
        <v>0</v>
      </c>
      <c r="BN5" s="531">
        <f t="shared" si="11"/>
        <v>0</v>
      </c>
      <c r="BO5" s="531">
        <f t="shared" si="11"/>
        <v>0</v>
      </c>
      <c r="BP5" s="531">
        <f t="shared" si="11"/>
        <v>0</v>
      </c>
      <c r="BQ5" s="531">
        <f t="shared" si="11"/>
        <v>0</v>
      </c>
      <c r="BR5" s="531">
        <f t="shared" si="11"/>
        <v>0</v>
      </c>
      <c r="BS5" s="531">
        <f t="shared" si="11"/>
        <v>0</v>
      </c>
      <c r="BT5" s="531">
        <f t="shared" si="11"/>
        <v>0</v>
      </c>
      <c r="BU5" s="531">
        <f t="shared" si="11"/>
        <v>0</v>
      </c>
      <c r="BV5" s="531">
        <f t="shared" si="11"/>
        <v>0</v>
      </c>
      <c r="BW5" s="531">
        <f t="shared" si="11"/>
        <v>0</v>
      </c>
      <c r="BX5" s="526" t="s">
        <v>99</v>
      </c>
      <c r="BY5" s="531">
        <f t="shared" ref="BY5" si="12">BY4*BY3</f>
        <v>0</v>
      </c>
      <c r="BZ5" s="531">
        <f t="shared" ref="BZ5:DB5" si="13">BZ4*BZ3</f>
        <v>0</v>
      </c>
      <c r="CA5" s="531">
        <f t="shared" si="13"/>
        <v>0</v>
      </c>
      <c r="CB5" s="531">
        <f t="shared" si="13"/>
        <v>0</v>
      </c>
      <c r="CC5" s="531">
        <f t="shared" si="13"/>
        <v>0</v>
      </c>
      <c r="CD5" s="531">
        <f t="shared" si="13"/>
        <v>0</v>
      </c>
      <c r="CE5" s="531">
        <f t="shared" si="13"/>
        <v>0</v>
      </c>
      <c r="CF5" s="531">
        <f t="shared" si="13"/>
        <v>0</v>
      </c>
      <c r="CG5" s="531">
        <f t="shared" si="13"/>
        <v>0</v>
      </c>
      <c r="CH5" s="531">
        <f t="shared" si="13"/>
        <v>0</v>
      </c>
      <c r="CI5" s="531">
        <f t="shared" si="13"/>
        <v>0</v>
      </c>
      <c r="CJ5" s="531">
        <f t="shared" si="13"/>
        <v>0</v>
      </c>
      <c r="CK5" s="531">
        <f t="shared" si="13"/>
        <v>0</v>
      </c>
      <c r="CL5" s="531">
        <f t="shared" si="13"/>
        <v>0</v>
      </c>
      <c r="CM5" s="531">
        <f t="shared" si="13"/>
        <v>0</v>
      </c>
      <c r="CN5" s="531">
        <f t="shared" si="13"/>
        <v>0</v>
      </c>
      <c r="CO5" s="531">
        <f t="shared" si="13"/>
        <v>0</v>
      </c>
      <c r="CP5" s="531">
        <f t="shared" si="13"/>
        <v>0</v>
      </c>
      <c r="CQ5" s="531">
        <f t="shared" si="13"/>
        <v>0</v>
      </c>
      <c r="CR5" s="531">
        <f t="shared" si="13"/>
        <v>0</v>
      </c>
      <c r="CS5" s="531">
        <f t="shared" si="13"/>
        <v>0</v>
      </c>
      <c r="CT5" s="531">
        <f t="shared" si="13"/>
        <v>0</v>
      </c>
      <c r="CU5" s="531">
        <f t="shared" si="13"/>
        <v>0</v>
      </c>
      <c r="CV5" s="531">
        <f t="shared" si="13"/>
        <v>0</v>
      </c>
      <c r="CW5" s="531">
        <f t="shared" si="13"/>
        <v>0</v>
      </c>
      <c r="CX5" s="531">
        <f t="shared" si="13"/>
        <v>0</v>
      </c>
      <c r="CY5" s="531">
        <f t="shared" si="13"/>
        <v>0</v>
      </c>
      <c r="CZ5" s="531">
        <f t="shared" si="13"/>
        <v>0</v>
      </c>
      <c r="DA5" s="531">
        <f t="shared" si="13"/>
        <v>0</v>
      </c>
      <c r="DB5" s="531">
        <f t="shared" si="13"/>
        <v>0</v>
      </c>
      <c r="DC5" s="531">
        <f t="shared" ref="DC5:DE5" si="14">DC4*DC3</f>
        <v>0</v>
      </c>
      <c r="DD5" s="531">
        <f t="shared" si="14"/>
        <v>0</v>
      </c>
      <c r="DE5" s="531">
        <f t="shared" si="14"/>
        <v>0</v>
      </c>
    </row>
    <row r="6" spans="1:109" ht="16.350000000000001" customHeight="1">
      <c r="B6" s="530"/>
      <c r="C6" s="530"/>
      <c r="D6" s="530"/>
      <c r="E6" s="530"/>
      <c r="F6" s="530"/>
    </row>
    <row r="7" spans="1:109" ht="56.65" customHeight="1">
      <c r="A7" s="532"/>
      <c r="B7" s="509" t="s">
        <v>439</v>
      </c>
      <c r="C7" s="509" t="s">
        <v>1774</v>
      </c>
      <c r="D7" s="509" t="s">
        <v>22</v>
      </c>
      <c r="E7" s="509" t="s">
        <v>149</v>
      </c>
      <c r="F7" s="509" t="s">
        <v>1775</v>
      </c>
      <c r="G7" s="509" t="s">
        <v>1776</v>
      </c>
      <c r="H7" s="533"/>
      <c r="I7" s="534" t="str" cm="1">
        <f t="array" ref="I7:AL7">TRANSPOSE(WellList)</f>
        <v>Conventional oil, Plugged and abandoned, Single well</v>
      </c>
      <c r="J7" s="534" t="str">
        <v>Conventional oil, Suspended, Single well</v>
      </c>
      <c r="K7" s="534" t="str">
        <v>Conventional oil, Shut-in, Single well</v>
      </c>
      <c r="L7" s="534" t="str">
        <v>Conventional oil, Appraisal / development, Single well</v>
      </c>
      <c r="M7" s="534" t="str">
        <v>Conventional oil, Operation / Production, Single well, Beam Pump</v>
      </c>
      <c r="N7" s="534" t="str">
        <v>Conventional oil, Operation / Production, Single well, No Beam Pump</v>
      </c>
      <c r="O7" s="534" t="str">
        <v>Conventional oil, Beam Pump only</v>
      </c>
      <c r="P7" s="534" t="str">
        <v>Conventional gas, Plugged and abandoned, Single well</v>
      </c>
      <c r="Q7" s="534" t="str">
        <v>Conventional gas, Suspended, Single well</v>
      </c>
      <c r="R7" s="534" t="str">
        <v>Conventional gas, Shut-in, Single well</v>
      </c>
      <c r="S7" s="534" t="str">
        <v>Conventional gas, Appraisal / development, Single well</v>
      </c>
      <c r="T7" s="534" t="str">
        <v>Conventional gas, Operation / Production, Single well</v>
      </c>
      <c r="U7" s="534" t="str">
        <v>Conventional gas, Operation / Production, &lt;= 4 wells well</v>
      </c>
      <c r="V7" s="534" t="str">
        <v>Conventional gas, Operation / Production, &gt; 4 wells well</v>
      </c>
      <c r="W7" s="534" t="str">
        <v>Coal seam gas, Plugged and abandoned, Single well</v>
      </c>
      <c r="X7" s="534" t="str">
        <v>Coal seam gas, Suspended, Single well</v>
      </c>
      <c r="Y7" s="534" t="str">
        <v>Coal seam gas, Shut-in, Single well</v>
      </c>
      <c r="Z7" s="534" t="str">
        <v>Coal seam gas, Appraisal / development, Single well</v>
      </c>
      <c r="AA7" s="534" t="str">
        <v>Coal seam gas, Operation / Production, Single well</v>
      </c>
      <c r="AB7" s="534" t="str">
        <v>Coal seam gas, Appraisal / development, &lt;= 4 wells well</v>
      </c>
      <c r="AC7" s="534" t="str">
        <v>Coal seam gas, Operation / Production, &lt;= 4 wells well</v>
      </c>
      <c r="AD7" s="534" t="str">
        <v>Coal seam gas, Appraisal / development, &gt; 4 wells well</v>
      </c>
      <c r="AE7" s="534" t="str">
        <v>Coal seam gas, Operation / Production, &gt; 4 wells well</v>
      </c>
      <c r="AF7" s="534" t="str">
        <v>Tight / shale gas, Plugged and abandoned, Single well</v>
      </c>
      <c r="AG7" s="534" t="str">
        <v>Tight / shale gas, Suspended, Single well</v>
      </c>
      <c r="AH7" s="534" t="str">
        <v>Tight / shale gas, Shut-in, Single well</v>
      </c>
      <c r="AI7" s="534" t="str">
        <v>Tight / shale gas, Appraisal / development, Single well</v>
      </c>
      <c r="AJ7" s="534" t="str">
        <v>Tight / shale gas, Operation / Production, Single well</v>
      </c>
      <c r="AK7" s="534" t="str">
        <v>Tight / shale gas, Operation / Production, &lt;= 4 wells well</v>
      </c>
      <c r="AL7" s="534" t="str">
        <v>Tight / shale gas, Operation / Production, &gt; 4 wells well</v>
      </c>
      <c r="AM7" s="534" t="str" cm="1">
        <f t="array" ref="AM7:AO7">TRANSPOSE(WellList_coreholes)</f>
        <v>Conventional oil, Corehole, Single well</v>
      </c>
      <c r="AN7" s="534" t="str">
        <v>Coal seam gas, Corehole, Single well</v>
      </c>
      <c r="AO7" s="534" t="str">
        <v>Tight / shale gas, Corehole, Single well</v>
      </c>
      <c r="AQ7" s="534" t="str" cm="1">
        <f t="array" ref="AQ7:BT7">TRANSPOSE(WellList)</f>
        <v>Conventional oil, Plugged and abandoned, Single well</v>
      </c>
      <c r="AR7" s="534" t="str">
        <v>Conventional oil, Suspended, Single well</v>
      </c>
      <c r="AS7" s="534" t="str">
        <v>Conventional oil, Shut-in, Single well</v>
      </c>
      <c r="AT7" s="534" t="str">
        <v>Conventional oil, Appraisal / development, Single well</v>
      </c>
      <c r="AU7" s="534" t="str">
        <v>Conventional oil, Operation / Production, Single well, Beam Pump</v>
      </c>
      <c r="AV7" s="534" t="str">
        <v>Conventional oil, Operation / Production, Single well, No Beam Pump</v>
      </c>
      <c r="AW7" s="534" t="str">
        <v>Conventional oil, Beam Pump only</v>
      </c>
      <c r="AX7" s="534" t="str">
        <v>Conventional gas, Plugged and abandoned, Single well</v>
      </c>
      <c r="AY7" s="534" t="str">
        <v>Conventional gas, Suspended, Single well</v>
      </c>
      <c r="AZ7" s="534" t="str">
        <v>Conventional gas, Shut-in, Single well</v>
      </c>
      <c r="BA7" s="534" t="str">
        <v>Conventional gas, Appraisal / development, Single well</v>
      </c>
      <c r="BB7" s="534" t="str">
        <v>Conventional gas, Operation / Production, Single well</v>
      </c>
      <c r="BC7" s="534" t="str">
        <v>Conventional gas, Operation / Production, &lt;= 4 wells well</v>
      </c>
      <c r="BD7" s="534" t="str">
        <v>Conventional gas, Operation / Production, &gt; 4 wells well</v>
      </c>
      <c r="BE7" s="534" t="str">
        <v>Coal seam gas, Plugged and abandoned, Single well</v>
      </c>
      <c r="BF7" s="534" t="str">
        <v>Coal seam gas, Suspended, Single well</v>
      </c>
      <c r="BG7" s="534" t="str">
        <v>Coal seam gas, Shut-in, Single well</v>
      </c>
      <c r="BH7" s="534" t="str">
        <v>Coal seam gas, Appraisal / development, Single well</v>
      </c>
      <c r="BI7" s="534" t="str">
        <v>Coal seam gas, Operation / Production, Single well</v>
      </c>
      <c r="BJ7" s="534" t="str">
        <v>Coal seam gas, Appraisal / development, &lt;= 4 wells well</v>
      </c>
      <c r="BK7" s="534" t="str">
        <v>Coal seam gas, Operation / Production, &lt;= 4 wells well</v>
      </c>
      <c r="BL7" s="534" t="str">
        <v>Coal seam gas, Appraisal / development, &gt; 4 wells well</v>
      </c>
      <c r="BM7" s="534" t="str">
        <v>Coal seam gas, Operation / Production, &gt; 4 wells well</v>
      </c>
      <c r="BN7" s="534" t="str">
        <v>Tight / shale gas, Plugged and abandoned, Single well</v>
      </c>
      <c r="BO7" s="534" t="str">
        <v>Tight / shale gas, Suspended, Single well</v>
      </c>
      <c r="BP7" s="534" t="str">
        <v>Tight / shale gas, Shut-in, Single well</v>
      </c>
      <c r="BQ7" s="534" t="str">
        <v>Tight / shale gas, Appraisal / development, Single well</v>
      </c>
      <c r="BR7" s="534" t="str">
        <v>Tight / shale gas, Operation / Production, Single well</v>
      </c>
      <c r="BS7" s="534" t="str">
        <v>Tight / shale gas, Operation / Production, &lt;= 4 wells well</v>
      </c>
      <c r="BT7" s="534" t="str">
        <v>Tight / shale gas, Operation / Production, &gt; 4 wells well</v>
      </c>
      <c r="BU7" s="534" t="str" cm="1">
        <f t="array" ref="BU7:BW7">TRANSPOSE(WellList_coreholes)</f>
        <v>Conventional oil, Corehole, Single well</v>
      </c>
      <c r="BV7" s="534" t="str">
        <v>Coal seam gas, Corehole, Single well</v>
      </c>
      <c r="BW7" s="534" t="str">
        <v>Tight / shale gas, Corehole, Single well</v>
      </c>
      <c r="BY7" s="534" t="str" cm="1">
        <f t="array" ref="BY7:DB7">TRANSPOSE(WellList)</f>
        <v>Conventional oil, Plugged and abandoned, Single well</v>
      </c>
      <c r="BZ7" s="534" t="str">
        <v>Conventional oil, Suspended, Single well</v>
      </c>
      <c r="CA7" s="534" t="str">
        <v>Conventional oil, Shut-in, Single well</v>
      </c>
      <c r="CB7" s="534" t="str">
        <v>Conventional oil, Appraisal / development, Single well</v>
      </c>
      <c r="CC7" s="534" t="str">
        <v>Conventional oil, Operation / Production, Single well, Beam Pump</v>
      </c>
      <c r="CD7" s="534" t="str">
        <v>Conventional oil, Operation / Production, Single well, No Beam Pump</v>
      </c>
      <c r="CE7" s="534" t="str">
        <v>Conventional oil, Beam Pump only</v>
      </c>
      <c r="CF7" s="534" t="str">
        <v>Conventional gas, Plugged and abandoned, Single well</v>
      </c>
      <c r="CG7" s="534" t="str">
        <v>Conventional gas, Suspended, Single well</v>
      </c>
      <c r="CH7" s="534" t="str">
        <v>Conventional gas, Shut-in, Single well</v>
      </c>
      <c r="CI7" s="534" t="str">
        <v>Conventional gas, Appraisal / development, Single well</v>
      </c>
      <c r="CJ7" s="534" t="str">
        <v>Conventional gas, Operation / Production, Single well</v>
      </c>
      <c r="CK7" s="534" t="str">
        <v>Conventional gas, Operation / Production, &lt;= 4 wells well</v>
      </c>
      <c r="CL7" s="534" t="str">
        <v>Conventional gas, Operation / Production, &gt; 4 wells well</v>
      </c>
      <c r="CM7" s="534" t="str">
        <v>Coal seam gas, Plugged and abandoned, Single well</v>
      </c>
      <c r="CN7" s="534" t="str">
        <v>Coal seam gas, Suspended, Single well</v>
      </c>
      <c r="CO7" s="534" t="str">
        <v>Coal seam gas, Shut-in, Single well</v>
      </c>
      <c r="CP7" s="534" t="str">
        <v>Coal seam gas, Appraisal / development, Single well</v>
      </c>
      <c r="CQ7" s="534" t="str">
        <v>Coal seam gas, Operation / Production, Single well</v>
      </c>
      <c r="CR7" s="534" t="str">
        <v>Coal seam gas, Appraisal / development, &lt;= 4 wells well</v>
      </c>
      <c r="CS7" s="534" t="str">
        <v>Coal seam gas, Operation / Production, &lt;= 4 wells well</v>
      </c>
      <c r="CT7" s="534" t="str">
        <v>Coal seam gas, Appraisal / development, &gt; 4 wells well</v>
      </c>
      <c r="CU7" s="534" t="str">
        <v>Coal seam gas, Operation / Production, &gt; 4 wells well</v>
      </c>
      <c r="CV7" s="534" t="str">
        <v>Tight / shale gas, Plugged and abandoned, Single well</v>
      </c>
      <c r="CW7" s="534" t="str">
        <v>Tight / shale gas, Suspended, Single well</v>
      </c>
      <c r="CX7" s="534" t="str">
        <v>Tight / shale gas, Shut-in, Single well</v>
      </c>
      <c r="CY7" s="534" t="str">
        <v>Tight / shale gas, Appraisal / development, Single well</v>
      </c>
      <c r="CZ7" s="534" t="str">
        <v>Tight / shale gas, Operation / Production, Single well</v>
      </c>
      <c r="DA7" s="534" t="str">
        <v>Tight / shale gas, Operation / Production, &lt;= 4 wells well</v>
      </c>
      <c r="DB7" s="534" t="str">
        <v>Tight / shale gas, Operation / Production, &gt; 4 wells well</v>
      </c>
      <c r="DC7" s="534" t="str" cm="1">
        <f t="array" ref="DC7:DE7">TRANSPOSE(WellList_coreholes)</f>
        <v>Conventional oil, Corehole, Single well</v>
      </c>
      <c r="DD7" s="534" t="str">
        <v>Coal seam gas, Corehole, Single well</v>
      </c>
      <c r="DE7" s="534" t="str">
        <v>Tight / shale gas, Corehole, Single well</v>
      </c>
    </row>
    <row r="8" spans="1:109" ht="18" customHeight="1">
      <c r="A8" s="532"/>
      <c r="B8" s="533"/>
      <c r="C8" s="533"/>
      <c r="D8" s="535" t="s">
        <v>1777</v>
      </c>
      <c r="E8" s="535" t="s">
        <v>1763</v>
      </c>
      <c r="F8" s="533" t="s">
        <v>119</v>
      </c>
      <c r="G8" s="535" t="s">
        <v>1777</v>
      </c>
      <c r="I8" s="494"/>
      <c r="J8" s="494"/>
      <c r="K8" s="494"/>
      <c r="L8" s="494"/>
      <c r="M8" s="494"/>
      <c r="N8" s="494"/>
      <c r="AQ8" s="494"/>
      <c r="AR8" s="494"/>
      <c r="AS8" s="494"/>
      <c r="AT8" s="494"/>
      <c r="AU8" s="494"/>
      <c r="AV8" s="494"/>
    </row>
    <row r="9" spans="1:109">
      <c r="A9" s="532"/>
      <c r="B9" s="137"/>
      <c r="C9" s="139"/>
      <c r="D9" s="120" t="s">
        <v>1778</v>
      </c>
      <c r="E9" s="89"/>
      <c r="F9" s="128"/>
      <c r="G9" s="55" t="s">
        <v>1779</v>
      </c>
      <c r="H9" s="536"/>
      <c r="I9" s="537">
        <f t="shared" ref="I9" si="15">IF($D9=I$7,$E9,"")</f>
        <v>0</v>
      </c>
      <c r="J9" s="537" t="str">
        <f t="shared" ref="J9:AO17" si="16">IF($D9=J$7,$E9,"")</f>
        <v/>
      </c>
      <c r="K9" s="537" t="str">
        <f t="shared" si="16"/>
        <v/>
      </c>
      <c r="L9" s="537" t="str">
        <f t="shared" ref="L9:M43" si="17">IF($D9=L$7,$E9,"")</f>
        <v/>
      </c>
      <c r="M9" s="537" t="str">
        <f t="shared" si="17"/>
        <v/>
      </c>
      <c r="N9" s="537" t="str">
        <f t="shared" si="16"/>
        <v/>
      </c>
      <c r="O9" s="537" t="str">
        <f t="shared" si="16"/>
        <v/>
      </c>
      <c r="P9" s="537" t="str">
        <f t="shared" si="16"/>
        <v/>
      </c>
      <c r="Q9" s="537" t="str">
        <f t="shared" si="16"/>
        <v/>
      </c>
      <c r="R9" s="537" t="str">
        <f t="shared" si="16"/>
        <v/>
      </c>
      <c r="S9" s="537" t="str">
        <f t="shared" si="16"/>
        <v/>
      </c>
      <c r="T9" s="537" t="str">
        <f t="shared" si="16"/>
        <v/>
      </c>
      <c r="U9" s="537" t="str">
        <f t="shared" si="16"/>
        <v/>
      </c>
      <c r="V9" s="537" t="str">
        <f t="shared" si="16"/>
        <v/>
      </c>
      <c r="W9" s="537" t="str">
        <f t="shared" si="16"/>
        <v/>
      </c>
      <c r="X9" s="537" t="str">
        <f t="shared" si="16"/>
        <v/>
      </c>
      <c r="Y9" s="537" t="str">
        <f t="shared" si="16"/>
        <v/>
      </c>
      <c r="Z9" s="537" t="str">
        <f t="shared" si="16"/>
        <v/>
      </c>
      <c r="AA9" s="537" t="str">
        <f t="shared" si="16"/>
        <v/>
      </c>
      <c r="AB9" s="537" t="str">
        <f t="shared" si="16"/>
        <v/>
      </c>
      <c r="AC9" s="537" t="str">
        <f t="shared" si="16"/>
        <v/>
      </c>
      <c r="AD9" s="537" t="str">
        <f t="shared" si="16"/>
        <v/>
      </c>
      <c r="AE9" s="537" t="str">
        <f t="shared" ref="AE9:AE43" si="18">IF($D9=AE$7,$E9,"")</f>
        <v/>
      </c>
      <c r="AF9" s="537" t="str">
        <f t="shared" si="16"/>
        <v/>
      </c>
      <c r="AG9" s="537" t="str">
        <f t="shared" si="16"/>
        <v/>
      </c>
      <c r="AH9" s="537" t="str">
        <f t="shared" si="16"/>
        <v/>
      </c>
      <c r="AI9" s="537" t="str">
        <f t="shared" si="16"/>
        <v/>
      </c>
      <c r="AJ9" s="537" t="str">
        <f t="shared" si="16"/>
        <v/>
      </c>
      <c r="AK9" s="537" t="str">
        <f t="shared" si="16"/>
        <v/>
      </c>
      <c r="AL9" s="537" t="str">
        <f t="shared" si="16"/>
        <v/>
      </c>
      <c r="AM9" s="537" t="str">
        <f t="shared" si="16"/>
        <v/>
      </c>
      <c r="AN9" s="537" t="str">
        <f t="shared" si="16"/>
        <v/>
      </c>
      <c r="AO9" s="537" t="str">
        <f t="shared" si="16"/>
        <v/>
      </c>
      <c r="AQ9" s="537">
        <f>IF(AND($G9=Lists!$D$41,$D9=AQ$7),$F9,"")</f>
        <v>0</v>
      </c>
      <c r="AR9" s="537" t="str">
        <f>IF(AND($G9=Lists!$D$41,$D9=AR$7),$F9,"")</f>
        <v/>
      </c>
      <c r="AS9" s="537" t="str">
        <f>IF(AND($G9=Lists!$D$41,$D9=AS$7),$F9,"")</f>
        <v/>
      </c>
      <c r="AT9" s="537" t="str">
        <f>IF(AND($G9=Lists!$D$41,$D9=AT$7),$F9,"")</f>
        <v/>
      </c>
      <c r="AU9" s="537" t="str">
        <f>IF(AND($G9=Lists!$D$41,$D9=AU$7),$F9,"")</f>
        <v/>
      </c>
      <c r="AV9" s="537" t="str">
        <f>IF(AND($G9=Lists!$D$41,$D9=AV$7),$F9,"")</f>
        <v/>
      </c>
      <c r="AW9" s="537" t="str">
        <f>IF(AND($G9=Lists!$D$41,$D9=AW$7),$F9,"")</f>
        <v/>
      </c>
      <c r="AX9" s="537" t="str">
        <f>IF(AND($G9=Lists!$D$41,$D9=AX$7),$F9,"")</f>
        <v/>
      </c>
      <c r="AY9" s="537" t="str">
        <f>IF(AND($G9=Lists!$D$41,$D9=AY$7),$F9,"")</f>
        <v/>
      </c>
      <c r="AZ9" s="537" t="str">
        <f>IF(AND($G9=Lists!$D$41,$D9=AZ$7),$F9,"")</f>
        <v/>
      </c>
      <c r="BA9" s="537" t="str">
        <f>IF(AND($G9=Lists!$D$41,$D9=BA$7),$F9,"")</f>
        <v/>
      </c>
      <c r="BB9" s="537" t="str">
        <f>IF(AND($G9=Lists!$D$41,$D9=BB$7),$F9,"")</f>
        <v/>
      </c>
      <c r="BC9" s="537" t="str">
        <f>IF(AND($G9=Lists!$D$41,$D9=BC$7),$F9,"")</f>
        <v/>
      </c>
      <c r="BD9" s="537" t="str">
        <f>IF(AND($G9=Lists!$D$41,$D9=BD$7),$F9,"")</f>
        <v/>
      </c>
      <c r="BE9" s="537" t="str">
        <f>IF(AND($G9=Lists!$D$41,$D9=BE$7),$F9,"")</f>
        <v/>
      </c>
      <c r="BF9" s="537" t="str">
        <f>IF(AND($G9=Lists!$D$41,$D9=BF$7),$F9,"")</f>
        <v/>
      </c>
      <c r="BG9" s="537" t="str">
        <f>IF(AND($G9=Lists!$D$41,$D9=BG$7),$F9,"")</f>
        <v/>
      </c>
      <c r="BH9" s="537" t="str">
        <f>IF(AND($G9=Lists!$D$41,$D9=BH$7),$F9,"")</f>
        <v/>
      </c>
      <c r="BI9" s="537" t="str">
        <f>IF(AND($G9=Lists!$D$41,$D9=BI$7),$F9,"")</f>
        <v/>
      </c>
      <c r="BJ9" s="537" t="str">
        <f>IF(AND($G9=Lists!$D$41,$D9=BJ$7),$F9,"")</f>
        <v/>
      </c>
      <c r="BK9" s="537" t="str">
        <f>IF(AND($G9=Lists!$D$41,$D9=BK$7),$F9,"")</f>
        <v/>
      </c>
      <c r="BL9" s="537" t="str">
        <f>IF(AND($G9=Lists!$D$41,$D9=BL$7),$F9,"")</f>
        <v/>
      </c>
      <c r="BM9" s="537" t="str">
        <f>IF(AND($G9=Lists!$D$41,$D9=BM$7),$F9,"")</f>
        <v/>
      </c>
      <c r="BN9" s="537" t="str">
        <f>IF(AND($G9=Lists!$D$41,$D9=BN$7),$F9,"")</f>
        <v/>
      </c>
      <c r="BO9" s="537" t="str">
        <f>IF(AND($G9=Lists!$D$41,$D9=BO$7),$F9,"")</f>
        <v/>
      </c>
      <c r="BP9" s="537" t="str">
        <f>IF(AND($G9=Lists!$D$41,$D9=BP$7),$F9,"")</f>
        <v/>
      </c>
      <c r="BQ9" s="537" t="str">
        <f>IF(AND($G9=Lists!$D$41,$D9=BQ$7),$F9,"")</f>
        <v/>
      </c>
      <c r="BR9" s="537" t="str">
        <f>IF(AND($G9=Lists!$D$41,$D9=BR$7),$F9,"")</f>
        <v/>
      </c>
      <c r="BS9" s="537" t="str">
        <f>IF(AND($G9=Lists!$D$41,$D9=BS$7),$F9,"")</f>
        <v/>
      </c>
      <c r="BT9" s="537" t="str">
        <f>IF(AND($G9=Lists!$D$41,$D9=BT$7),$F9,"")</f>
        <v/>
      </c>
      <c r="BU9" s="537" t="str">
        <f>IF(AND($G9=Lists!$D$41,$D9=BU$7),$F9,"")</f>
        <v/>
      </c>
      <c r="BV9" s="537" t="str">
        <f>IF(AND($G9=Lists!$D$41,$D9=BV$7),$F9,"")</f>
        <v/>
      </c>
      <c r="BW9" s="537" t="str">
        <f>IF(AND($G9=Lists!$D$41,$D9=BW$7),$F9,"")</f>
        <v/>
      </c>
      <c r="BY9" s="537" t="str">
        <f>IF(AND($G9=Lists!$D$42,$D9=BY$7),$F9,"")</f>
        <v/>
      </c>
      <c r="BZ9" s="537" t="str">
        <f>IF(AND($G9=Lists!$D$42,$D9=BZ$7),$F9,"")</f>
        <v/>
      </c>
      <c r="CA9" s="537" t="str">
        <f>IF(AND($G9=Lists!$D$42,$D9=CA$7),$F9,"")</f>
        <v/>
      </c>
      <c r="CB9" s="537" t="str">
        <f>IF(AND($G9=Lists!$D$42,$D9=CB$7),$F9,"")</f>
        <v/>
      </c>
      <c r="CC9" s="537" t="str">
        <f>IF(AND($G9=Lists!$D$42,$D9=CC$7),$F9,"")</f>
        <v/>
      </c>
      <c r="CD9" s="537" t="str">
        <f>IF(AND($G9=Lists!$D$42,$D9=CD$7),$F9,"")</f>
        <v/>
      </c>
      <c r="CE9" s="537" t="str">
        <f>IF(AND($G9=Lists!$D$42,$D9=CE$7),$F9,"")</f>
        <v/>
      </c>
      <c r="CF9" s="537" t="str">
        <f>IF(AND($G9=Lists!$D$42,$D9=CF$7),$F9,"")</f>
        <v/>
      </c>
      <c r="CG9" s="537" t="str">
        <f>IF(AND($G9=Lists!$D$42,$D9=CG$7),$F9,"")</f>
        <v/>
      </c>
      <c r="CH9" s="537" t="str">
        <f>IF(AND($G9=Lists!$D$42,$D9=CH$7),$F9,"")</f>
        <v/>
      </c>
      <c r="CI9" s="537" t="str">
        <f>IF(AND($G9=Lists!$D$42,$D9=CI$7),$F9,"")</f>
        <v/>
      </c>
      <c r="CJ9" s="537" t="str">
        <f>IF(AND($G9=Lists!$D$42,$D9=CJ$7),$F9,"")</f>
        <v/>
      </c>
      <c r="CK9" s="537" t="str">
        <f>IF(AND($G9=Lists!$D$42,$D9=CK$7),$F9,"")</f>
        <v/>
      </c>
      <c r="CL9" s="537" t="str">
        <f>IF(AND($G9=Lists!$D$42,$D9=CL$7),$F9,"")</f>
        <v/>
      </c>
      <c r="CM9" s="537" t="str">
        <f>IF(AND($G9=Lists!$D$42,$D9=CM$7),$F9,"")</f>
        <v/>
      </c>
      <c r="CN9" s="537" t="str">
        <f>IF(AND($G9=Lists!$D$42,$D9=CN$7),$F9,"")</f>
        <v/>
      </c>
      <c r="CO9" s="537" t="str">
        <f>IF(AND($G9=Lists!$D$42,$D9=CO$7),$F9,"")</f>
        <v/>
      </c>
      <c r="CP9" s="537" t="str">
        <f>IF(AND($G9=Lists!$D$42,$D9=CP$7),$F9,"")</f>
        <v/>
      </c>
      <c r="CQ9" s="537" t="str">
        <f>IF(AND($G9=Lists!$D$42,$D9=CQ$7),$F9,"")</f>
        <v/>
      </c>
      <c r="CR9" s="537" t="str">
        <f>IF(AND($G9=Lists!$D$42,$D9=CR$7),$F9,"")</f>
        <v/>
      </c>
      <c r="CS9" s="537" t="str">
        <f>IF(AND($G9=Lists!$D$42,$D9=CS$7),$F9,"")</f>
        <v/>
      </c>
      <c r="CT9" s="537" t="str">
        <f>IF(AND($G9=Lists!$D$42,$D9=CT$7),$F9,"")</f>
        <v/>
      </c>
      <c r="CU9" s="537" t="str">
        <f>IF(AND($G9=Lists!$D$42,$D9=CU$7),$F9,"")</f>
        <v/>
      </c>
      <c r="CV9" s="537" t="str">
        <f>IF(AND($G9=Lists!$D$42,$D9=CV$7),$F9,"")</f>
        <v/>
      </c>
      <c r="CW9" s="537" t="str">
        <f>IF(AND($G9=Lists!$D$42,$D9=CW$7),$F9,"")</f>
        <v/>
      </c>
      <c r="CX9" s="537" t="str">
        <f>IF(AND($G9=Lists!$D$42,$D9=CX$7),$F9,"")</f>
        <v/>
      </c>
      <c r="CY9" s="537" t="str">
        <f>IF(AND($G9=Lists!$D$42,$D9=CY$7),$F9,"")</f>
        <v/>
      </c>
      <c r="CZ9" s="537" t="str">
        <f>IF(AND($G9=Lists!$D$42,$D9=CZ$7),$F9,"")</f>
        <v/>
      </c>
      <c r="DA9" s="537" t="str">
        <f>IF(AND($G9=Lists!$D$42,$D9=DA$7),$F9,"")</f>
        <v/>
      </c>
      <c r="DB9" s="537" t="str">
        <f>IF(AND($G9=Lists!$D$42,$D9=DB$7),$F9,"")</f>
        <v/>
      </c>
      <c r="DC9" s="537"/>
      <c r="DD9" s="537"/>
      <c r="DE9" s="537" t="str">
        <f>IF(AND($G9=Lists!$D$42,$D9=DE$7),$F9,"")</f>
        <v/>
      </c>
    </row>
    <row r="10" spans="1:109">
      <c r="A10" s="532"/>
      <c r="B10" s="137"/>
      <c r="C10" s="139"/>
      <c r="D10" s="120" t="s">
        <v>1780</v>
      </c>
      <c r="E10" s="89"/>
      <c r="F10" s="128"/>
      <c r="G10" s="55" t="s">
        <v>1779</v>
      </c>
      <c r="H10" s="536"/>
      <c r="I10" s="537" t="str">
        <f t="shared" ref="I10:Z33" si="19">IF($D10=I$7,$E10,"")</f>
        <v/>
      </c>
      <c r="J10" s="537">
        <f t="shared" si="16"/>
        <v>0</v>
      </c>
      <c r="K10" s="537" t="str">
        <f t="shared" si="16"/>
        <v/>
      </c>
      <c r="L10" s="537" t="str">
        <f t="shared" si="17"/>
        <v/>
      </c>
      <c r="M10" s="537" t="str">
        <f t="shared" si="17"/>
        <v/>
      </c>
      <c r="N10" s="537" t="str">
        <f t="shared" si="16"/>
        <v/>
      </c>
      <c r="O10" s="537" t="str">
        <f t="shared" si="16"/>
        <v/>
      </c>
      <c r="P10" s="537" t="str">
        <f t="shared" si="16"/>
        <v/>
      </c>
      <c r="Q10" s="537" t="str">
        <f t="shared" si="16"/>
        <v/>
      </c>
      <c r="R10" s="537" t="str">
        <f t="shared" si="16"/>
        <v/>
      </c>
      <c r="S10" s="537" t="str">
        <f t="shared" si="16"/>
        <v/>
      </c>
      <c r="T10" s="537" t="str">
        <f t="shared" si="16"/>
        <v/>
      </c>
      <c r="U10" s="537" t="str">
        <f t="shared" si="16"/>
        <v/>
      </c>
      <c r="V10" s="537" t="str">
        <f t="shared" si="16"/>
        <v/>
      </c>
      <c r="W10" s="537" t="str">
        <f t="shared" si="16"/>
        <v/>
      </c>
      <c r="X10" s="537" t="str">
        <f t="shared" si="16"/>
        <v/>
      </c>
      <c r="Y10" s="537" t="str">
        <f t="shared" si="16"/>
        <v/>
      </c>
      <c r="Z10" s="537" t="str">
        <f t="shared" si="16"/>
        <v/>
      </c>
      <c r="AA10" s="537" t="str">
        <f t="shared" si="16"/>
        <v/>
      </c>
      <c r="AB10" s="537" t="str">
        <f t="shared" si="16"/>
        <v/>
      </c>
      <c r="AC10" s="537" t="str">
        <f t="shared" si="16"/>
        <v/>
      </c>
      <c r="AD10" s="537" t="str">
        <f t="shared" si="16"/>
        <v/>
      </c>
      <c r="AE10" s="537" t="str">
        <f t="shared" si="18"/>
        <v/>
      </c>
      <c r="AF10" s="537" t="str">
        <f t="shared" si="16"/>
        <v/>
      </c>
      <c r="AG10" s="537" t="str">
        <f t="shared" si="16"/>
        <v/>
      </c>
      <c r="AH10" s="537" t="str">
        <f t="shared" si="16"/>
        <v/>
      </c>
      <c r="AI10" s="537" t="str">
        <f t="shared" si="16"/>
        <v/>
      </c>
      <c r="AJ10" s="537" t="str">
        <f t="shared" si="16"/>
        <v/>
      </c>
      <c r="AK10" s="537" t="str">
        <f t="shared" si="16"/>
        <v/>
      </c>
      <c r="AL10" s="537" t="str">
        <f t="shared" si="16"/>
        <v/>
      </c>
      <c r="AM10" s="537" t="str">
        <f t="shared" si="16"/>
        <v/>
      </c>
      <c r="AN10" s="537" t="str">
        <f t="shared" si="16"/>
        <v/>
      </c>
      <c r="AO10" s="537" t="str">
        <f t="shared" si="16"/>
        <v/>
      </c>
      <c r="AQ10" s="537" t="str">
        <f>IF(AND($G10=Lists!$D$41,$D10=AQ$7),$F10,"")</f>
        <v/>
      </c>
      <c r="AR10" s="537">
        <f>IF(AND($G10=Lists!$D$41,$D10=AR$7),$F10,"")</f>
        <v>0</v>
      </c>
      <c r="AS10" s="537" t="str">
        <f>IF(AND($G10=Lists!$D$41,$D10=AS$7),$F10,"")</f>
        <v/>
      </c>
      <c r="AT10" s="537" t="str">
        <f>IF(AND($G10=Lists!$D$41,$D10=AT$7),$F10,"")</f>
        <v/>
      </c>
      <c r="AU10" s="537" t="str">
        <f>IF(AND($G10=Lists!$D$41,$D10=AU$7),$F10,"")</f>
        <v/>
      </c>
      <c r="AV10" s="537" t="str">
        <f>IF(AND($G10=Lists!$D$41,$D10=AV$7),$F10,"")</f>
        <v/>
      </c>
      <c r="AW10" s="537" t="str">
        <f>IF(AND($G10=Lists!$D$41,$D10=AW$7),$F10,"")</f>
        <v/>
      </c>
      <c r="AX10" s="537" t="str">
        <f>IF(AND($G10=Lists!$D$41,$D10=AX$7),$F10,"")</f>
        <v/>
      </c>
      <c r="AY10" s="537" t="str">
        <f>IF(AND($G10=Lists!$D$41,$D10=AY$7),$F10,"")</f>
        <v/>
      </c>
      <c r="AZ10" s="537" t="str">
        <f>IF(AND($G10=Lists!$D$41,$D10=AZ$7),$F10,"")</f>
        <v/>
      </c>
      <c r="BA10" s="537" t="str">
        <f>IF(AND($G10=Lists!$D$41,$D10=BA$7),$F10,"")</f>
        <v/>
      </c>
      <c r="BB10" s="537" t="str">
        <f>IF(AND($G10=Lists!$D$41,$D10=BB$7),$F10,"")</f>
        <v/>
      </c>
      <c r="BC10" s="537" t="str">
        <f>IF(AND($G10=Lists!$D$41,$D10=BC$7),$F10,"")</f>
        <v/>
      </c>
      <c r="BD10" s="537" t="str">
        <f>IF(AND($G10=Lists!$D$41,$D10=BD$7),$F10,"")</f>
        <v/>
      </c>
      <c r="BE10" s="537" t="str">
        <f>IF(AND($G10=Lists!$D$41,$D10=BE$7),$F10,"")</f>
        <v/>
      </c>
      <c r="BF10" s="537" t="str">
        <f>IF(AND($G10=Lists!$D$41,$D10=BF$7),$F10,"")</f>
        <v/>
      </c>
      <c r="BG10" s="537" t="str">
        <f>IF(AND($G10=Lists!$D$41,$D10=BG$7),$F10,"")</f>
        <v/>
      </c>
      <c r="BH10" s="537" t="str">
        <f>IF(AND($G10=Lists!$D$41,$D10=BH$7),$F10,"")</f>
        <v/>
      </c>
      <c r="BI10" s="537" t="str">
        <f>IF(AND($G10=Lists!$D$41,$D10=BI$7),$F10,"")</f>
        <v/>
      </c>
      <c r="BJ10" s="537" t="str">
        <f>IF(AND($G10=Lists!$D$41,$D10=BJ$7),$F10,"")</f>
        <v/>
      </c>
      <c r="BK10" s="537" t="str">
        <f>IF(AND($G10=Lists!$D$41,$D10=BK$7),$F10,"")</f>
        <v/>
      </c>
      <c r="BL10" s="537" t="str">
        <f>IF(AND($G10=Lists!$D$41,$D10=BL$7),$F10,"")</f>
        <v/>
      </c>
      <c r="BM10" s="537" t="str">
        <f>IF(AND($G10=Lists!$D$41,$D10=BM$7),$F10,"")</f>
        <v/>
      </c>
      <c r="BN10" s="537" t="str">
        <f>IF(AND($G10=Lists!$D$41,$D10=BN$7),$F10,"")</f>
        <v/>
      </c>
      <c r="BO10" s="537" t="str">
        <f>IF(AND($G10=Lists!$D$41,$D10=BO$7),$F10,"")</f>
        <v/>
      </c>
      <c r="BP10" s="537" t="str">
        <f>IF(AND($G10=Lists!$D$41,$D10=BP$7),$F10,"")</f>
        <v/>
      </c>
      <c r="BQ10" s="537" t="str">
        <f>IF(AND($G10=Lists!$D$41,$D10=BQ$7),$F10,"")</f>
        <v/>
      </c>
      <c r="BR10" s="537" t="str">
        <f>IF(AND($G10=Lists!$D$41,$D10=BR$7),$F10,"")</f>
        <v/>
      </c>
      <c r="BS10" s="537" t="str">
        <f>IF(AND($G10=Lists!$D$41,$D10=BS$7),$F10,"")</f>
        <v/>
      </c>
      <c r="BT10" s="537" t="str">
        <f>IF(AND($G10=Lists!$D$41,$D10=BT$7),$F10,"")</f>
        <v/>
      </c>
      <c r="BU10" s="537" t="str">
        <f>IF(AND($G10=Lists!$D$41,$D10=BU$7),$F10,"")</f>
        <v/>
      </c>
      <c r="BV10" s="537" t="str">
        <f>IF(AND($G10=Lists!$D$41,$D10=BV$7),$F10,"")</f>
        <v/>
      </c>
      <c r="BW10" s="537" t="str">
        <f>IF(AND($G10=Lists!$D$41,$D10=BW$7),$F10,"")</f>
        <v/>
      </c>
      <c r="BY10" s="537" t="str">
        <f>IF(AND($G10=Lists!$D$42,$D10=BY$7),$F10,"")</f>
        <v/>
      </c>
      <c r="BZ10" s="537" t="str">
        <f>IF(AND($G10=Lists!$D$42,$D10=BZ$7),$F10,"")</f>
        <v/>
      </c>
      <c r="CA10" s="537" t="str">
        <f>IF(AND($G10=Lists!$D$42,$D10=CA$7),$F10,"")</f>
        <v/>
      </c>
      <c r="CB10" s="537" t="str">
        <f>IF(AND($G10=Lists!$D$42,$D10=CB$7),$F10,"")</f>
        <v/>
      </c>
      <c r="CC10" s="537" t="str">
        <f>IF(AND($G10=Lists!$D$42,$D10=CC$7),$F10,"")</f>
        <v/>
      </c>
      <c r="CD10" s="537" t="str">
        <f>IF(AND($G10=Lists!$D$42,$D10=CD$7),$F10,"")</f>
        <v/>
      </c>
      <c r="CE10" s="537" t="str">
        <f>IF(AND($G10=Lists!$D$42,$D10=CE$7),$F10,"")</f>
        <v/>
      </c>
      <c r="CF10" s="537" t="str">
        <f>IF(AND($G10=Lists!$D$42,$D10=CF$7),$F10,"")</f>
        <v/>
      </c>
      <c r="CG10" s="537" t="str">
        <f>IF(AND($G10=Lists!$D$42,$D10=CG$7),$F10,"")</f>
        <v/>
      </c>
      <c r="CH10" s="537" t="str">
        <f>IF(AND($G10=Lists!$D$42,$D10=CH$7),$F10,"")</f>
        <v/>
      </c>
      <c r="CI10" s="537" t="str">
        <f>IF(AND($G10=Lists!$D$42,$D10=CI$7),$F10,"")</f>
        <v/>
      </c>
      <c r="CJ10" s="537" t="str">
        <f>IF(AND($G10=Lists!$D$42,$D10=CJ$7),$F10,"")</f>
        <v/>
      </c>
      <c r="CK10" s="537" t="str">
        <f>IF(AND($G10=Lists!$D$42,$D10=CK$7),$F10,"")</f>
        <v/>
      </c>
      <c r="CL10" s="537" t="str">
        <f>IF(AND($G10=Lists!$D$42,$D10=CL$7),$F10,"")</f>
        <v/>
      </c>
      <c r="CM10" s="537" t="str">
        <f>IF(AND($G10=Lists!$D$42,$D10=CM$7),$F10,"")</f>
        <v/>
      </c>
      <c r="CN10" s="537" t="str">
        <f>IF(AND($G10=Lists!$D$42,$D10=CN$7),$F10,"")</f>
        <v/>
      </c>
      <c r="CO10" s="537" t="str">
        <f>IF(AND($G10=Lists!$D$42,$D10=CO$7),$F10,"")</f>
        <v/>
      </c>
      <c r="CP10" s="537" t="str">
        <f>IF(AND($G10=Lists!$D$42,$D10=CP$7),$F10,"")</f>
        <v/>
      </c>
      <c r="CQ10" s="537" t="str">
        <f>IF(AND($G10=Lists!$D$42,$D10=CQ$7),$F10,"")</f>
        <v/>
      </c>
      <c r="CR10" s="537" t="str">
        <f>IF(AND($G10=Lists!$D$42,$D10=CR$7),$F10,"")</f>
        <v/>
      </c>
      <c r="CS10" s="537" t="str">
        <f>IF(AND($G10=Lists!$D$42,$D10=CS$7),$F10,"")</f>
        <v/>
      </c>
      <c r="CT10" s="537" t="str">
        <f>IF(AND($G10=Lists!$D$42,$D10=CT$7),$F10,"")</f>
        <v/>
      </c>
      <c r="CU10" s="537" t="str">
        <f>IF(AND($G10=Lists!$D$42,$D10=CU$7),$F10,"")</f>
        <v/>
      </c>
      <c r="CV10" s="537" t="str">
        <f>IF(AND($G10=Lists!$D$42,$D10=CV$7),$F10,"")</f>
        <v/>
      </c>
      <c r="CW10" s="537" t="str">
        <f>IF(AND($G10=Lists!$D$42,$D10=CW$7),$F10,"")</f>
        <v/>
      </c>
      <c r="CX10" s="537" t="str">
        <f>IF(AND($G10=Lists!$D$42,$D10=CX$7),$F10,"")</f>
        <v/>
      </c>
      <c r="CY10" s="537" t="str">
        <f>IF(AND($G10=Lists!$D$42,$D10=CY$7),$F10,"")</f>
        <v/>
      </c>
      <c r="CZ10" s="537" t="str">
        <f>IF(AND($G10=Lists!$D$42,$D10=CZ$7),$F10,"")</f>
        <v/>
      </c>
      <c r="DA10" s="537" t="str">
        <f>IF(AND($G10=Lists!$D$42,$D10=DA$7),$F10,"")</f>
        <v/>
      </c>
      <c r="DB10" s="537" t="str">
        <f>IF(AND($G10=Lists!$D$42,$D10=DB$7),$F10,"")</f>
        <v/>
      </c>
      <c r="DC10" s="537"/>
      <c r="DD10" s="537"/>
      <c r="DE10" s="537" t="str">
        <f>IF(AND($G10=Lists!$D$42,$D10=DE$7),$F10,"")</f>
        <v/>
      </c>
    </row>
    <row r="11" spans="1:109">
      <c r="A11" s="532"/>
      <c r="B11" s="137"/>
      <c r="C11" s="139"/>
      <c r="D11" s="120" t="s">
        <v>1781</v>
      </c>
      <c r="E11" s="89"/>
      <c r="F11" s="128"/>
      <c r="G11" s="55" t="s">
        <v>1779</v>
      </c>
      <c r="H11" s="536"/>
      <c r="I11" s="537" t="str">
        <f t="shared" si="19"/>
        <v/>
      </c>
      <c r="J11" s="537" t="str">
        <f t="shared" si="16"/>
        <v/>
      </c>
      <c r="K11" s="537">
        <f t="shared" si="16"/>
        <v>0</v>
      </c>
      <c r="L11" s="537" t="str">
        <f t="shared" si="17"/>
        <v/>
      </c>
      <c r="M11" s="537" t="str">
        <f t="shared" si="17"/>
        <v/>
      </c>
      <c r="N11" s="537" t="str">
        <f t="shared" si="16"/>
        <v/>
      </c>
      <c r="O11" s="537" t="str">
        <f t="shared" si="16"/>
        <v/>
      </c>
      <c r="P11" s="537" t="str">
        <f t="shared" si="16"/>
        <v/>
      </c>
      <c r="Q11" s="537" t="str">
        <f t="shared" si="16"/>
        <v/>
      </c>
      <c r="R11" s="537" t="str">
        <f t="shared" si="16"/>
        <v/>
      </c>
      <c r="S11" s="537" t="str">
        <f t="shared" si="16"/>
        <v/>
      </c>
      <c r="T11" s="537" t="str">
        <f t="shared" si="16"/>
        <v/>
      </c>
      <c r="U11" s="537" t="str">
        <f t="shared" si="16"/>
        <v/>
      </c>
      <c r="V11" s="537" t="str">
        <f t="shared" si="16"/>
        <v/>
      </c>
      <c r="W11" s="537" t="str">
        <f t="shared" si="16"/>
        <v/>
      </c>
      <c r="X11" s="537" t="str">
        <f t="shared" si="16"/>
        <v/>
      </c>
      <c r="Y11" s="537" t="str">
        <f t="shared" si="16"/>
        <v/>
      </c>
      <c r="Z11" s="537" t="str">
        <f t="shared" si="16"/>
        <v/>
      </c>
      <c r="AA11" s="537" t="str">
        <f t="shared" si="16"/>
        <v/>
      </c>
      <c r="AB11" s="537" t="str">
        <f t="shared" si="16"/>
        <v/>
      </c>
      <c r="AC11" s="537" t="str">
        <f t="shared" si="16"/>
        <v/>
      </c>
      <c r="AD11" s="537" t="str">
        <f t="shared" si="16"/>
        <v/>
      </c>
      <c r="AE11" s="537" t="str">
        <f t="shared" si="18"/>
        <v/>
      </c>
      <c r="AF11" s="537" t="str">
        <f t="shared" si="16"/>
        <v/>
      </c>
      <c r="AG11" s="537" t="str">
        <f t="shared" si="16"/>
        <v/>
      </c>
      <c r="AH11" s="537" t="str">
        <f t="shared" si="16"/>
        <v/>
      </c>
      <c r="AI11" s="537" t="str">
        <f t="shared" si="16"/>
        <v/>
      </c>
      <c r="AJ11" s="537" t="str">
        <f t="shared" si="16"/>
        <v/>
      </c>
      <c r="AK11" s="537" t="str">
        <f t="shared" si="16"/>
        <v/>
      </c>
      <c r="AL11" s="537" t="str">
        <f t="shared" si="16"/>
        <v/>
      </c>
      <c r="AM11" s="537" t="str">
        <f t="shared" si="16"/>
        <v/>
      </c>
      <c r="AN11" s="537" t="str">
        <f t="shared" si="16"/>
        <v/>
      </c>
      <c r="AO11" s="537" t="str">
        <f t="shared" si="16"/>
        <v/>
      </c>
      <c r="AQ11" s="537" t="str">
        <f>IF(AND($G11=Lists!$D$41,$D11=AQ$7),$F11,"")</f>
        <v/>
      </c>
      <c r="AR11" s="537" t="str">
        <f>IF(AND($G11=Lists!$D$41,$D11=AR$7),$F11,"")</f>
        <v/>
      </c>
      <c r="AS11" s="537">
        <f>IF(AND($G11=Lists!$D$41,$D11=AS$7),$F11,"")</f>
        <v>0</v>
      </c>
      <c r="AT11" s="537" t="str">
        <f>IF(AND($G11=Lists!$D$41,$D11=AT$7),$F11,"")</f>
        <v/>
      </c>
      <c r="AU11" s="537" t="str">
        <f>IF(AND($G11=Lists!$D$41,$D11=AU$7),$F11,"")</f>
        <v/>
      </c>
      <c r="AV11" s="537" t="str">
        <f>IF(AND($G11=Lists!$D$41,$D11=AV$7),$F11,"")</f>
        <v/>
      </c>
      <c r="AW11" s="537" t="str">
        <f>IF(AND($G11=Lists!$D$41,$D11=AW$7),$F11,"")</f>
        <v/>
      </c>
      <c r="AX11" s="537" t="str">
        <f>IF(AND($G11=Lists!$D$41,$D11=AX$7),$F11,"")</f>
        <v/>
      </c>
      <c r="AY11" s="537" t="str">
        <f>IF(AND($G11=Lists!$D$41,$D11=AY$7),$F11,"")</f>
        <v/>
      </c>
      <c r="AZ11" s="537" t="str">
        <f>IF(AND($G11=Lists!$D$41,$D11=AZ$7),$F11,"")</f>
        <v/>
      </c>
      <c r="BA11" s="537" t="str">
        <f>IF(AND($G11=Lists!$D$41,$D11=BA$7),$F11,"")</f>
        <v/>
      </c>
      <c r="BB11" s="537" t="str">
        <f>IF(AND($G11=Lists!$D$41,$D11=BB$7),$F11,"")</f>
        <v/>
      </c>
      <c r="BC11" s="537" t="str">
        <f>IF(AND($G11=Lists!$D$41,$D11=BC$7),$F11,"")</f>
        <v/>
      </c>
      <c r="BD11" s="537" t="str">
        <f>IF(AND($G11=Lists!$D$41,$D11=BD$7),$F11,"")</f>
        <v/>
      </c>
      <c r="BE11" s="537" t="str">
        <f>IF(AND($G11=Lists!$D$41,$D11=BE$7),$F11,"")</f>
        <v/>
      </c>
      <c r="BF11" s="537" t="str">
        <f>IF(AND($G11=Lists!$D$41,$D11=BF$7),$F11,"")</f>
        <v/>
      </c>
      <c r="BG11" s="537" t="str">
        <f>IF(AND($G11=Lists!$D$41,$D11=BG$7),$F11,"")</f>
        <v/>
      </c>
      <c r="BH11" s="537" t="str">
        <f>IF(AND($G11=Lists!$D$41,$D11=BH$7),$F11,"")</f>
        <v/>
      </c>
      <c r="BI11" s="537" t="str">
        <f>IF(AND($G11=Lists!$D$41,$D11=BI$7),$F11,"")</f>
        <v/>
      </c>
      <c r="BJ11" s="537" t="str">
        <f>IF(AND($G11=Lists!$D$41,$D11=BJ$7),$F11,"")</f>
        <v/>
      </c>
      <c r="BK11" s="537" t="str">
        <f>IF(AND($G11=Lists!$D$41,$D11=BK$7),$F11,"")</f>
        <v/>
      </c>
      <c r="BL11" s="537" t="str">
        <f>IF(AND($G11=Lists!$D$41,$D11=BL$7),$F11,"")</f>
        <v/>
      </c>
      <c r="BM11" s="537" t="str">
        <f>IF(AND($G11=Lists!$D$41,$D11=BM$7),$F11,"")</f>
        <v/>
      </c>
      <c r="BN11" s="537" t="str">
        <f>IF(AND($G11=Lists!$D$41,$D11=BN$7),$F11,"")</f>
        <v/>
      </c>
      <c r="BO11" s="537" t="str">
        <f>IF(AND($G11=Lists!$D$41,$D11=BO$7),$F11,"")</f>
        <v/>
      </c>
      <c r="BP11" s="537" t="str">
        <f>IF(AND($G11=Lists!$D$41,$D11=BP$7),$F11,"")</f>
        <v/>
      </c>
      <c r="BQ11" s="537" t="str">
        <f>IF(AND($G11=Lists!$D$41,$D11=BQ$7),$F11,"")</f>
        <v/>
      </c>
      <c r="BR11" s="537" t="str">
        <f>IF(AND($G11=Lists!$D$41,$D11=BR$7),$F11,"")</f>
        <v/>
      </c>
      <c r="BS11" s="537" t="str">
        <f>IF(AND($G11=Lists!$D$41,$D11=BS$7),$F11,"")</f>
        <v/>
      </c>
      <c r="BT11" s="537" t="str">
        <f>IF(AND($G11=Lists!$D$41,$D11=BT$7),$F11,"")</f>
        <v/>
      </c>
      <c r="BU11" s="537" t="str">
        <f>IF(AND($G11=Lists!$D$41,$D11=BU$7),$F11,"")</f>
        <v/>
      </c>
      <c r="BV11" s="537" t="str">
        <f>IF(AND($G11=Lists!$D$41,$D11=BV$7),$F11,"")</f>
        <v/>
      </c>
      <c r="BW11" s="537" t="str">
        <f>IF(AND($G11=Lists!$D$41,$D11=BW$7),$F11,"")</f>
        <v/>
      </c>
      <c r="BY11" s="537" t="str">
        <f>IF(AND($G11=Lists!$D$42,$D11=BY$7),$F11,"")</f>
        <v/>
      </c>
      <c r="BZ11" s="537" t="str">
        <f>IF(AND($G11=Lists!$D$42,$D11=BZ$7),$F11,"")</f>
        <v/>
      </c>
      <c r="CA11" s="537" t="str">
        <f>IF(AND($G11=Lists!$D$42,$D11=CA$7),$F11,"")</f>
        <v/>
      </c>
      <c r="CB11" s="537" t="str">
        <f>IF(AND($G11=Lists!$D$42,$D11=CB$7),$F11,"")</f>
        <v/>
      </c>
      <c r="CC11" s="537" t="str">
        <f>IF(AND($G11=Lists!$D$42,$D11=CC$7),$F11,"")</f>
        <v/>
      </c>
      <c r="CD11" s="537" t="str">
        <f>IF(AND($G11=Lists!$D$42,$D11=CD$7),$F11,"")</f>
        <v/>
      </c>
      <c r="CE11" s="537" t="str">
        <f>IF(AND($G11=Lists!$D$42,$D11=CE$7),$F11,"")</f>
        <v/>
      </c>
      <c r="CF11" s="537" t="str">
        <f>IF(AND($G11=Lists!$D$42,$D11=CF$7),$F11,"")</f>
        <v/>
      </c>
      <c r="CG11" s="537" t="str">
        <f>IF(AND($G11=Lists!$D$42,$D11=CG$7),$F11,"")</f>
        <v/>
      </c>
      <c r="CH11" s="537" t="str">
        <f>IF(AND($G11=Lists!$D$42,$D11=CH$7),$F11,"")</f>
        <v/>
      </c>
      <c r="CI11" s="537" t="str">
        <f>IF(AND($G11=Lists!$D$42,$D11=CI$7),$F11,"")</f>
        <v/>
      </c>
      <c r="CJ11" s="537" t="str">
        <f>IF(AND($G11=Lists!$D$42,$D11=CJ$7),$F11,"")</f>
        <v/>
      </c>
      <c r="CK11" s="537" t="str">
        <f>IF(AND($G11=Lists!$D$42,$D11=CK$7),$F11,"")</f>
        <v/>
      </c>
      <c r="CL11" s="537" t="str">
        <f>IF(AND($G11=Lists!$D$42,$D11=CL$7),$F11,"")</f>
        <v/>
      </c>
      <c r="CM11" s="537" t="str">
        <f>IF(AND($G11=Lists!$D$42,$D11=CM$7),$F11,"")</f>
        <v/>
      </c>
      <c r="CN11" s="537" t="str">
        <f>IF(AND($G11=Lists!$D$42,$D11=CN$7),$F11,"")</f>
        <v/>
      </c>
      <c r="CO11" s="537" t="str">
        <f>IF(AND($G11=Lists!$D$42,$D11=CO$7),$F11,"")</f>
        <v/>
      </c>
      <c r="CP11" s="537" t="str">
        <f>IF(AND($G11=Lists!$D$42,$D11=CP$7),$F11,"")</f>
        <v/>
      </c>
      <c r="CQ11" s="537" t="str">
        <f>IF(AND($G11=Lists!$D$42,$D11=CQ$7),$F11,"")</f>
        <v/>
      </c>
      <c r="CR11" s="537" t="str">
        <f>IF(AND($G11=Lists!$D$42,$D11=CR$7),$F11,"")</f>
        <v/>
      </c>
      <c r="CS11" s="537" t="str">
        <f>IF(AND($G11=Lists!$D$42,$D11=CS$7),$F11,"")</f>
        <v/>
      </c>
      <c r="CT11" s="537" t="str">
        <f>IF(AND($G11=Lists!$D$42,$D11=CT$7),$F11,"")</f>
        <v/>
      </c>
      <c r="CU11" s="537" t="str">
        <f>IF(AND($G11=Lists!$D$42,$D11=CU$7),$F11,"")</f>
        <v/>
      </c>
      <c r="CV11" s="537" t="str">
        <f>IF(AND($G11=Lists!$D$42,$D11=CV$7),$F11,"")</f>
        <v/>
      </c>
      <c r="CW11" s="537" t="str">
        <f>IF(AND($G11=Lists!$D$42,$D11=CW$7),$F11,"")</f>
        <v/>
      </c>
      <c r="CX11" s="537" t="str">
        <f>IF(AND($G11=Lists!$D$42,$D11=CX$7),$F11,"")</f>
        <v/>
      </c>
      <c r="CY11" s="537" t="str">
        <f>IF(AND($G11=Lists!$D$42,$D11=CY$7),$F11,"")</f>
        <v/>
      </c>
      <c r="CZ11" s="537" t="str">
        <f>IF(AND($G11=Lists!$D$42,$D11=CZ$7),$F11,"")</f>
        <v/>
      </c>
      <c r="DA11" s="537" t="str">
        <f>IF(AND($G11=Lists!$D$42,$D11=DA$7),$F11,"")</f>
        <v/>
      </c>
      <c r="DB11" s="537" t="str">
        <f>IF(AND($G11=Lists!$D$42,$D11=DB$7),$F11,"")</f>
        <v/>
      </c>
      <c r="DC11" s="537"/>
      <c r="DD11" s="537"/>
      <c r="DE11" s="537" t="str">
        <f>IF(AND($G11=Lists!$D$42,$D11=DE$7),$F11,"")</f>
        <v/>
      </c>
    </row>
    <row r="12" spans="1:109">
      <c r="A12" s="532"/>
      <c r="B12" s="137"/>
      <c r="C12" s="139"/>
      <c r="D12" s="120" t="s">
        <v>1782</v>
      </c>
      <c r="E12" s="89"/>
      <c r="F12" s="128"/>
      <c r="G12" s="55" t="s">
        <v>1779</v>
      </c>
      <c r="H12" s="536"/>
      <c r="I12" s="537" t="str">
        <f t="shared" si="19"/>
        <v/>
      </c>
      <c r="J12" s="537" t="str">
        <f t="shared" si="16"/>
        <v/>
      </c>
      <c r="K12" s="537" t="str">
        <f t="shared" si="16"/>
        <v/>
      </c>
      <c r="L12" s="537">
        <f t="shared" si="17"/>
        <v>0</v>
      </c>
      <c r="M12" s="537" t="str">
        <f t="shared" si="17"/>
        <v/>
      </c>
      <c r="N12" s="537" t="str">
        <f t="shared" si="16"/>
        <v/>
      </c>
      <c r="O12" s="537" t="str">
        <f t="shared" si="16"/>
        <v/>
      </c>
      <c r="P12" s="537" t="str">
        <f t="shared" si="16"/>
        <v/>
      </c>
      <c r="Q12" s="537" t="str">
        <f t="shared" si="16"/>
        <v/>
      </c>
      <c r="R12" s="537" t="str">
        <f t="shared" si="16"/>
        <v/>
      </c>
      <c r="S12" s="537" t="str">
        <f t="shared" si="16"/>
        <v/>
      </c>
      <c r="T12" s="537" t="str">
        <f t="shared" si="16"/>
        <v/>
      </c>
      <c r="U12" s="537" t="str">
        <f t="shared" si="16"/>
        <v/>
      </c>
      <c r="V12" s="537" t="str">
        <f t="shared" si="16"/>
        <v/>
      </c>
      <c r="W12" s="537" t="str">
        <f t="shared" si="16"/>
        <v/>
      </c>
      <c r="X12" s="537" t="str">
        <f t="shared" si="16"/>
        <v/>
      </c>
      <c r="Y12" s="537" t="str">
        <f t="shared" si="16"/>
        <v/>
      </c>
      <c r="Z12" s="537" t="str">
        <f t="shared" si="16"/>
        <v/>
      </c>
      <c r="AA12" s="537" t="str">
        <f t="shared" si="16"/>
        <v/>
      </c>
      <c r="AB12" s="537" t="str">
        <f t="shared" si="16"/>
        <v/>
      </c>
      <c r="AC12" s="537" t="str">
        <f t="shared" si="16"/>
        <v/>
      </c>
      <c r="AD12" s="537" t="str">
        <f t="shared" si="16"/>
        <v/>
      </c>
      <c r="AE12" s="537" t="str">
        <f t="shared" si="18"/>
        <v/>
      </c>
      <c r="AF12" s="537" t="str">
        <f t="shared" si="16"/>
        <v/>
      </c>
      <c r="AG12" s="537" t="str">
        <f t="shared" si="16"/>
        <v/>
      </c>
      <c r="AH12" s="537" t="str">
        <f t="shared" si="16"/>
        <v/>
      </c>
      <c r="AI12" s="537" t="str">
        <f t="shared" si="16"/>
        <v/>
      </c>
      <c r="AJ12" s="537" t="str">
        <f t="shared" si="16"/>
        <v/>
      </c>
      <c r="AK12" s="537" t="str">
        <f t="shared" si="16"/>
        <v/>
      </c>
      <c r="AL12" s="537" t="str">
        <f t="shared" si="16"/>
        <v/>
      </c>
      <c r="AM12" s="537" t="str">
        <f t="shared" si="16"/>
        <v/>
      </c>
      <c r="AN12" s="537" t="str">
        <f t="shared" si="16"/>
        <v/>
      </c>
      <c r="AO12" s="537" t="str">
        <f t="shared" si="16"/>
        <v/>
      </c>
      <c r="AQ12" s="537" t="str">
        <f>IF(AND($G12=Lists!$D$41,$D12=AQ$7),$F12,"")</f>
        <v/>
      </c>
      <c r="AR12" s="537" t="str">
        <f>IF(AND($G12=Lists!$D$41,$D12=AR$7),$F12,"")</f>
        <v/>
      </c>
      <c r="AS12" s="537" t="str">
        <f>IF(AND($G12=Lists!$D$41,$D12=AS$7),$F12,"")</f>
        <v/>
      </c>
      <c r="AT12" s="537">
        <f>IF(AND($G12=Lists!$D$41,$D12=AT$7),$F12,"")</f>
        <v>0</v>
      </c>
      <c r="AU12" s="537" t="str">
        <f>IF(AND($G12=Lists!$D$41,$D12=AU$7),$F12,"")</f>
        <v/>
      </c>
      <c r="AV12" s="537" t="str">
        <f>IF(AND($G12=Lists!$D$41,$D12=AV$7),$F12,"")</f>
        <v/>
      </c>
      <c r="AW12" s="537" t="str">
        <f>IF(AND($G12=Lists!$D$41,$D12=AW$7),$F12,"")</f>
        <v/>
      </c>
      <c r="AX12" s="537" t="str">
        <f>IF(AND($G12=Lists!$D$41,$D12=AX$7),$F12,"")</f>
        <v/>
      </c>
      <c r="AY12" s="537" t="str">
        <f>IF(AND($G12=Lists!$D$41,$D12=AY$7),$F12,"")</f>
        <v/>
      </c>
      <c r="AZ12" s="537" t="str">
        <f>IF(AND($G12=Lists!$D$41,$D12=AZ$7),$F12,"")</f>
        <v/>
      </c>
      <c r="BA12" s="537" t="str">
        <f>IF(AND($G12=Lists!$D$41,$D12=BA$7),$F12,"")</f>
        <v/>
      </c>
      <c r="BB12" s="537" t="str">
        <f>IF(AND($G12=Lists!$D$41,$D12=BB$7),$F12,"")</f>
        <v/>
      </c>
      <c r="BC12" s="537" t="str">
        <f>IF(AND($G12=Lists!$D$41,$D12=BC$7),$F12,"")</f>
        <v/>
      </c>
      <c r="BD12" s="537" t="str">
        <f>IF(AND($G12=Lists!$D$41,$D12=BD$7),$F12,"")</f>
        <v/>
      </c>
      <c r="BE12" s="537" t="str">
        <f>IF(AND($G12=Lists!$D$41,$D12=BE$7),$F12,"")</f>
        <v/>
      </c>
      <c r="BF12" s="537" t="str">
        <f>IF(AND($G12=Lists!$D$41,$D12=BF$7),$F12,"")</f>
        <v/>
      </c>
      <c r="BG12" s="537" t="str">
        <f>IF(AND($G12=Lists!$D$41,$D12=BG$7),$F12,"")</f>
        <v/>
      </c>
      <c r="BH12" s="537" t="str">
        <f>IF(AND($G12=Lists!$D$41,$D12=BH$7),$F12,"")</f>
        <v/>
      </c>
      <c r="BI12" s="537" t="str">
        <f>IF(AND($G12=Lists!$D$41,$D12=BI$7),$F12,"")</f>
        <v/>
      </c>
      <c r="BJ12" s="537" t="str">
        <f>IF(AND($G12=Lists!$D$41,$D12=BJ$7),$F12,"")</f>
        <v/>
      </c>
      <c r="BK12" s="537" t="str">
        <f>IF(AND($G12=Lists!$D$41,$D12=BK$7),$F12,"")</f>
        <v/>
      </c>
      <c r="BL12" s="537" t="str">
        <f>IF(AND($G12=Lists!$D$41,$D12=BL$7),$F12,"")</f>
        <v/>
      </c>
      <c r="BM12" s="537" t="str">
        <f>IF(AND($G12=Lists!$D$41,$D12=BM$7),$F12,"")</f>
        <v/>
      </c>
      <c r="BN12" s="537" t="str">
        <f>IF(AND($G12=Lists!$D$41,$D12=BN$7),$F12,"")</f>
        <v/>
      </c>
      <c r="BO12" s="537" t="str">
        <f>IF(AND($G12=Lists!$D$41,$D12=BO$7),$F12,"")</f>
        <v/>
      </c>
      <c r="BP12" s="537" t="str">
        <f>IF(AND($G12=Lists!$D$41,$D12=BP$7),$F12,"")</f>
        <v/>
      </c>
      <c r="BQ12" s="537" t="str">
        <f>IF(AND($G12=Lists!$D$41,$D12=BQ$7),$F12,"")</f>
        <v/>
      </c>
      <c r="BR12" s="537" t="str">
        <f>IF(AND($G12=Lists!$D$41,$D12=BR$7),$F12,"")</f>
        <v/>
      </c>
      <c r="BS12" s="537" t="str">
        <f>IF(AND($G12=Lists!$D$41,$D12=BS$7),$F12,"")</f>
        <v/>
      </c>
      <c r="BT12" s="537" t="str">
        <f>IF(AND($G12=Lists!$D$41,$D12=BT$7),$F12,"")</f>
        <v/>
      </c>
      <c r="BU12" s="537" t="str">
        <f>IF(AND($G12=Lists!$D$41,$D12=BU$7),$F12,"")</f>
        <v/>
      </c>
      <c r="BV12" s="537" t="str">
        <f>IF(AND($G12=Lists!$D$41,$D12=BV$7),$F12,"")</f>
        <v/>
      </c>
      <c r="BW12" s="537" t="str">
        <f>IF(AND($G12=Lists!$D$41,$D12=BW$7),$F12,"")</f>
        <v/>
      </c>
      <c r="BY12" s="537" t="str">
        <f>IF(AND($G12=Lists!$D$42,$D12=BY$7),$F12,"")</f>
        <v/>
      </c>
      <c r="BZ12" s="537" t="str">
        <f>IF(AND($G12=Lists!$D$42,$D12=BZ$7),$F12,"")</f>
        <v/>
      </c>
      <c r="CA12" s="537" t="str">
        <f>IF(AND($G12=Lists!$D$42,$D12=CA$7),$F12,"")</f>
        <v/>
      </c>
      <c r="CB12" s="537" t="str">
        <f>IF(AND($G12=Lists!$D$42,$D12=CB$7),$F12,"")</f>
        <v/>
      </c>
      <c r="CC12" s="537" t="str">
        <f>IF(AND($G12=Lists!$D$42,$D12=CC$7),$F12,"")</f>
        <v/>
      </c>
      <c r="CD12" s="537" t="str">
        <f>IF(AND($G12=Lists!$D$42,$D12=CD$7),$F12,"")</f>
        <v/>
      </c>
      <c r="CE12" s="537" t="str">
        <f>IF(AND($G12=Lists!$D$42,$D12=CE$7),$F12,"")</f>
        <v/>
      </c>
      <c r="CF12" s="537" t="str">
        <f>IF(AND($G12=Lists!$D$42,$D12=CF$7),$F12,"")</f>
        <v/>
      </c>
      <c r="CG12" s="537" t="str">
        <f>IF(AND($G12=Lists!$D$42,$D12=CG$7),$F12,"")</f>
        <v/>
      </c>
      <c r="CH12" s="537" t="str">
        <f>IF(AND($G12=Lists!$D$42,$D12=CH$7),$F12,"")</f>
        <v/>
      </c>
      <c r="CI12" s="537" t="str">
        <f>IF(AND($G12=Lists!$D$42,$D12=CI$7),$F12,"")</f>
        <v/>
      </c>
      <c r="CJ12" s="537" t="str">
        <f>IF(AND($G12=Lists!$D$42,$D12=CJ$7),$F12,"")</f>
        <v/>
      </c>
      <c r="CK12" s="537" t="str">
        <f>IF(AND($G12=Lists!$D$42,$D12=CK$7),$F12,"")</f>
        <v/>
      </c>
      <c r="CL12" s="537" t="str">
        <f>IF(AND($G12=Lists!$D$42,$D12=CL$7),$F12,"")</f>
        <v/>
      </c>
      <c r="CM12" s="537" t="str">
        <f>IF(AND($G12=Lists!$D$42,$D12=CM$7),$F12,"")</f>
        <v/>
      </c>
      <c r="CN12" s="537" t="str">
        <f>IF(AND($G12=Lists!$D$42,$D12=CN$7),$F12,"")</f>
        <v/>
      </c>
      <c r="CO12" s="537" t="str">
        <f>IF(AND($G12=Lists!$D$42,$D12=CO$7),$F12,"")</f>
        <v/>
      </c>
      <c r="CP12" s="537" t="str">
        <f>IF(AND($G12=Lists!$D$42,$D12=CP$7),$F12,"")</f>
        <v/>
      </c>
      <c r="CQ12" s="537" t="str">
        <f>IF(AND($G12=Lists!$D$42,$D12=CQ$7),$F12,"")</f>
        <v/>
      </c>
      <c r="CR12" s="537" t="str">
        <f>IF(AND($G12=Lists!$D$42,$D12=CR$7),$F12,"")</f>
        <v/>
      </c>
      <c r="CS12" s="537" t="str">
        <f>IF(AND($G12=Lists!$D$42,$D12=CS$7),$F12,"")</f>
        <v/>
      </c>
      <c r="CT12" s="537" t="str">
        <f>IF(AND($G12=Lists!$D$42,$D12=CT$7),$F12,"")</f>
        <v/>
      </c>
      <c r="CU12" s="537" t="str">
        <f>IF(AND($G12=Lists!$D$42,$D12=CU$7),$F12,"")</f>
        <v/>
      </c>
      <c r="CV12" s="537" t="str">
        <f>IF(AND($G12=Lists!$D$42,$D12=CV$7),$F12,"")</f>
        <v/>
      </c>
      <c r="CW12" s="537" t="str">
        <f>IF(AND($G12=Lists!$D$42,$D12=CW$7),$F12,"")</f>
        <v/>
      </c>
      <c r="CX12" s="537" t="str">
        <f>IF(AND($G12=Lists!$D$42,$D12=CX$7),$F12,"")</f>
        <v/>
      </c>
      <c r="CY12" s="537" t="str">
        <f>IF(AND($G12=Lists!$D$42,$D12=CY$7),$F12,"")</f>
        <v/>
      </c>
      <c r="CZ12" s="537" t="str">
        <f>IF(AND($G12=Lists!$D$42,$D12=CZ$7),$F12,"")</f>
        <v/>
      </c>
      <c r="DA12" s="537" t="str">
        <f>IF(AND($G12=Lists!$D$42,$D12=DA$7),$F12,"")</f>
        <v/>
      </c>
      <c r="DB12" s="537" t="str">
        <f>IF(AND($G12=Lists!$D$42,$D12=DB$7),$F12,"")</f>
        <v/>
      </c>
      <c r="DC12" s="537"/>
      <c r="DD12" s="537"/>
      <c r="DE12" s="537" t="str">
        <f>IF(AND($G12=Lists!$D$42,$D12=DE$7),$F12,"")</f>
        <v/>
      </c>
    </row>
    <row r="13" spans="1:109">
      <c r="A13" s="532"/>
      <c r="B13" s="137"/>
      <c r="C13" s="139"/>
      <c r="D13" s="120" t="s">
        <v>1783</v>
      </c>
      <c r="E13" s="89"/>
      <c r="F13" s="128"/>
      <c r="G13" s="55" t="s">
        <v>1779</v>
      </c>
      <c r="H13" s="536"/>
      <c r="I13" s="537" t="str">
        <f t="shared" si="19"/>
        <v/>
      </c>
      <c r="J13" s="537" t="str">
        <f t="shared" si="16"/>
        <v/>
      </c>
      <c r="K13" s="537" t="str">
        <f t="shared" si="16"/>
        <v/>
      </c>
      <c r="L13" s="537" t="str">
        <f t="shared" si="17"/>
        <v/>
      </c>
      <c r="M13" s="537">
        <f t="shared" si="17"/>
        <v>0</v>
      </c>
      <c r="N13" s="537" t="str">
        <f t="shared" si="16"/>
        <v/>
      </c>
      <c r="O13" s="537" t="str">
        <f t="shared" si="16"/>
        <v/>
      </c>
      <c r="P13" s="537" t="str">
        <f t="shared" si="16"/>
        <v/>
      </c>
      <c r="Q13" s="537" t="str">
        <f t="shared" si="16"/>
        <v/>
      </c>
      <c r="R13" s="537" t="str">
        <f t="shared" si="16"/>
        <v/>
      </c>
      <c r="S13" s="537" t="str">
        <f t="shared" si="16"/>
        <v/>
      </c>
      <c r="T13" s="537" t="str">
        <f t="shared" si="16"/>
        <v/>
      </c>
      <c r="U13" s="537" t="str">
        <f t="shared" si="16"/>
        <v/>
      </c>
      <c r="V13" s="537" t="str">
        <f t="shared" si="16"/>
        <v/>
      </c>
      <c r="W13" s="537" t="str">
        <f t="shared" si="16"/>
        <v/>
      </c>
      <c r="X13" s="537" t="str">
        <f t="shared" si="16"/>
        <v/>
      </c>
      <c r="Y13" s="537" t="str">
        <f t="shared" si="16"/>
        <v/>
      </c>
      <c r="Z13" s="537" t="str">
        <f t="shared" si="16"/>
        <v/>
      </c>
      <c r="AA13" s="537" t="str">
        <f t="shared" si="16"/>
        <v/>
      </c>
      <c r="AB13" s="537" t="str">
        <f t="shared" si="16"/>
        <v/>
      </c>
      <c r="AC13" s="537" t="str">
        <f t="shared" si="16"/>
        <v/>
      </c>
      <c r="AD13" s="537" t="str">
        <f t="shared" si="16"/>
        <v/>
      </c>
      <c r="AE13" s="537" t="str">
        <f t="shared" si="18"/>
        <v/>
      </c>
      <c r="AF13" s="537" t="str">
        <f t="shared" si="16"/>
        <v/>
      </c>
      <c r="AG13" s="537" t="str">
        <f t="shared" si="16"/>
        <v/>
      </c>
      <c r="AH13" s="537" t="str">
        <f t="shared" si="16"/>
        <v/>
      </c>
      <c r="AI13" s="537" t="str">
        <f t="shared" si="16"/>
        <v/>
      </c>
      <c r="AJ13" s="537" t="str">
        <f t="shared" si="16"/>
        <v/>
      </c>
      <c r="AK13" s="537" t="str">
        <f t="shared" si="16"/>
        <v/>
      </c>
      <c r="AL13" s="537" t="str">
        <f t="shared" si="16"/>
        <v/>
      </c>
      <c r="AM13" s="537" t="str">
        <f t="shared" si="16"/>
        <v/>
      </c>
      <c r="AN13" s="537" t="str">
        <f t="shared" si="16"/>
        <v/>
      </c>
      <c r="AO13" s="537" t="str">
        <f t="shared" si="16"/>
        <v/>
      </c>
      <c r="AQ13" s="537" t="str">
        <f>IF(AND($G13=Lists!$D$41,$D13=AQ$7),$F13,"")</f>
        <v/>
      </c>
      <c r="AR13" s="537" t="str">
        <f>IF(AND($G13=Lists!$D$41,$D13=AR$7),$F13,"")</f>
        <v/>
      </c>
      <c r="AS13" s="537" t="str">
        <f>IF(AND($G13=Lists!$D$41,$D13=AS$7),$F13,"")</f>
        <v/>
      </c>
      <c r="AT13" s="537" t="str">
        <f>IF(AND($G13=Lists!$D$41,$D13=AT$7),$F13,"")</f>
        <v/>
      </c>
      <c r="AU13" s="537">
        <f>IF(AND($G13=Lists!$D$41,$D13=AU$7),$F13,"")</f>
        <v>0</v>
      </c>
      <c r="AV13" s="537" t="str">
        <f>IF(AND($G13=Lists!$D$41,$D13=AV$7),$F13,"")</f>
        <v/>
      </c>
      <c r="AW13" s="537" t="str">
        <f>IF(AND($G13=Lists!$D$41,$D13=AW$7),$F13,"")</f>
        <v/>
      </c>
      <c r="AX13" s="537" t="str">
        <f>IF(AND($G13=Lists!$D$41,$D13=AX$7),$F13,"")</f>
        <v/>
      </c>
      <c r="AY13" s="537" t="str">
        <f>IF(AND($G13=Lists!$D$41,$D13=AY$7),$F13,"")</f>
        <v/>
      </c>
      <c r="AZ13" s="537" t="str">
        <f>IF(AND($G13=Lists!$D$41,$D13=AZ$7),$F13,"")</f>
        <v/>
      </c>
      <c r="BA13" s="537" t="str">
        <f>IF(AND($G13=Lists!$D$41,$D13=BA$7),$F13,"")</f>
        <v/>
      </c>
      <c r="BB13" s="537" t="str">
        <f>IF(AND($G13=Lists!$D$41,$D13=BB$7),$F13,"")</f>
        <v/>
      </c>
      <c r="BC13" s="537" t="str">
        <f>IF(AND($G13=Lists!$D$41,$D13=BC$7),$F13,"")</f>
        <v/>
      </c>
      <c r="BD13" s="537" t="str">
        <f>IF(AND($G13=Lists!$D$41,$D13=BD$7),$F13,"")</f>
        <v/>
      </c>
      <c r="BE13" s="537" t="str">
        <f>IF(AND($G13=Lists!$D$41,$D13=BE$7),$F13,"")</f>
        <v/>
      </c>
      <c r="BF13" s="537" t="str">
        <f>IF(AND($G13=Lists!$D$41,$D13=BF$7),$F13,"")</f>
        <v/>
      </c>
      <c r="BG13" s="537" t="str">
        <f>IF(AND($G13=Lists!$D$41,$D13=BG$7),$F13,"")</f>
        <v/>
      </c>
      <c r="BH13" s="537" t="str">
        <f>IF(AND($G13=Lists!$D$41,$D13=BH$7),$F13,"")</f>
        <v/>
      </c>
      <c r="BI13" s="537" t="str">
        <f>IF(AND($G13=Lists!$D$41,$D13=BI$7),$F13,"")</f>
        <v/>
      </c>
      <c r="BJ13" s="537" t="str">
        <f>IF(AND($G13=Lists!$D$41,$D13=BJ$7),$F13,"")</f>
        <v/>
      </c>
      <c r="BK13" s="537" t="str">
        <f>IF(AND($G13=Lists!$D$41,$D13=BK$7),$F13,"")</f>
        <v/>
      </c>
      <c r="BL13" s="537" t="str">
        <f>IF(AND($G13=Lists!$D$41,$D13=BL$7),$F13,"")</f>
        <v/>
      </c>
      <c r="BM13" s="537" t="str">
        <f>IF(AND($G13=Lists!$D$41,$D13=BM$7),$F13,"")</f>
        <v/>
      </c>
      <c r="BN13" s="537" t="str">
        <f>IF(AND($G13=Lists!$D$41,$D13=BN$7),$F13,"")</f>
        <v/>
      </c>
      <c r="BO13" s="537" t="str">
        <f>IF(AND($G13=Lists!$D$41,$D13=BO$7),$F13,"")</f>
        <v/>
      </c>
      <c r="BP13" s="537" t="str">
        <f>IF(AND($G13=Lists!$D$41,$D13=BP$7),$F13,"")</f>
        <v/>
      </c>
      <c r="BQ13" s="537" t="str">
        <f>IF(AND($G13=Lists!$D$41,$D13=BQ$7),$F13,"")</f>
        <v/>
      </c>
      <c r="BR13" s="537" t="str">
        <f>IF(AND($G13=Lists!$D$41,$D13=BR$7),$F13,"")</f>
        <v/>
      </c>
      <c r="BS13" s="537" t="str">
        <f>IF(AND($G13=Lists!$D$41,$D13=BS$7),$F13,"")</f>
        <v/>
      </c>
      <c r="BT13" s="537" t="str">
        <f>IF(AND($G13=Lists!$D$41,$D13=BT$7),$F13,"")</f>
        <v/>
      </c>
      <c r="BU13" s="537" t="str">
        <f>IF(AND($G13=Lists!$D$41,$D13=BU$7),$F13,"")</f>
        <v/>
      </c>
      <c r="BV13" s="537" t="str">
        <f>IF(AND($G13=Lists!$D$41,$D13=BV$7),$F13,"")</f>
        <v/>
      </c>
      <c r="BW13" s="537" t="str">
        <f>IF(AND($G13=Lists!$D$41,$D13=BW$7),$F13,"")</f>
        <v/>
      </c>
      <c r="BY13" s="537" t="str">
        <f>IF(AND($G13=Lists!$D$42,$D13=BY$7),$F13,"")</f>
        <v/>
      </c>
      <c r="BZ13" s="537" t="str">
        <f>IF(AND($G13=Lists!$D$42,$D13=BZ$7),$F13,"")</f>
        <v/>
      </c>
      <c r="CA13" s="537" t="str">
        <f>IF(AND($G13=Lists!$D$42,$D13=CA$7),$F13,"")</f>
        <v/>
      </c>
      <c r="CB13" s="537" t="str">
        <f>IF(AND($G13=Lists!$D$42,$D13=CB$7),$F13,"")</f>
        <v/>
      </c>
      <c r="CC13" s="537" t="str">
        <f>IF(AND($G13=Lists!$D$42,$D13=CC$7),$F13,"")</f>
        <v/>
      </c>
      <c r="CD13" s="537" t="str">
        <f>IF(AND($G13=Lists!$D$42,$D13=CD$7),$F13,"")</f>
        <v/>
      </c>
      <c r="CE13" s="537" t="str">
        <f>IF(AND($G13=Lists!$D$42,$D13=CE$7),$F13,"")</f>
        <v/>
      </c>
      <c r="CF13" s="537" t="str">
        <f>IF(AND($G13=Lists!$D$42,$D13=CF$7),$F13,"")</f>
        <v/>
      </c>
      <c r="CG13" s="537" t="str">
        <f>IF(AND($G13=Lists!$D$42,$D13=CG$7),$F13,"")</f>
        <v/>
      </c>
      <c r="CH13" s="537" t="str">
        <f>IF(AND($G13=Lists!$D$42,$D13=CH$7),$F13,"")</f>
        <v/>
      </c>
      <c r="CI13" s="537" t="str">
        <f>IF(AND($G13=Lists!$D$42,$D13=CI$7),$F13,"")</f>
        <v/>
      </c>
      <c r="CJ13" s="537" t="str">
        <f>IF(AND($G13=Lists!$D$42,$D13=CJ$7),$F13,"")</f>
        <v/>
      </c>
      <c r="CK13" s="537" t="str">
        <f>IF(AND($G13=Lists!$D$42,$D13=CK$7),$F13,"")</f>
        <v/>
      </c>
      <c r="CL13" s="537" t="str">
        <f>IF(AND($G13=Lists!$D$42,$D13=CL$7),$F13,"")</f>
        <v/>
      </c>
      <c r="CM13" s="537" t="str">
        <f>IF(AND($G13=Lists!$D$42,$D13=CM$7),$F13,"")</f>
        <v/>
      </c>
      <c r="CN13" s="537" t="str">
        <f>IF(AND($G13=Lists!$D$42,$D13=CN$7),$F13,"")</f>
        <v/>
      </c>
      <c r="CO13" s="537" t="str">
        <f>IF(AND($G13=Lists!$D$42,$D13=CO$7),$F13,"")</f>
        <v/>
      </c>
      <c r="CP13" s="537" t="str">
        <f>IF(AND($G13=Lists!$D$42,$D13=CP$7),$F13,"")</f>
        <v/>
      </c>
      <c r="CQ13" s="537" t="str">
        <f>IF(AND($G13=Lists!$D$42,$D13=CQ$7),$F13,"")</f>
        <v/>
      </c>
      <c r="CR13" s="537" t="str">
        <f>IF(AND($G13=Lists!$D$42,$D13=CR$7),$F13,"")</f>
        <v/>
      </c>
      <c r="CS13" s="537" t="str">
        <f>IF(AND($G13=Lists!$D$42,$D13=CS$7),$F13,"")</f>
        <v/>
      </c>
      <c r="CT13" s="537" t="str">
        <f>IF(AND($G13=Lists!$D$42,$D13=CT$7),$F13,"")</f>
        <v/>
      </c>
      <c r="CU13" s="537" t="str">
        <f>IF(AND($G13=Lists!$D$42,$D13=CU$7),$F13,"")</f>
        <v/>
      </c>
      <c r="CV13" s="537" t="str">
        <f>IF(AND($G13=Lists!$D$42,$D13=CV$7),$F13,"")</f>
        <v/>
      </c>
      <c r="CW13" s="537" t="str">
        <f>IF(AND($G13=Lists!$D$42,$D13=CW$7),$F13,"")</f>
        <v/>
      </c>
      <c r="CX13" s="537" t="str">
        <f>IF(AND($G13=Lists!$D$42,$D13=CX$7),$F13,"")</f>
        <v/>
      </c>
      <c r="CY13" s="537" t="str">
        <f>IF(AND($G13=Lists!$D$42,$D13=CY$7),$F13,"")</f>
        <v/>
      </c>
      <c r="CZ13" s="537" t="str">
        <f>IF(AND($G13=Lists!$D$42,$D13=CZ$7),$F13,"")</f>
        <v/>
      </c>
      <c r="DA13" s="537" t="str">
        <f>IF(AND($G13=Lists!$D$42,$D13=DA$7),$F13,"")</f>
        <v/>
      </c>
      <c r="DB13" s="537" t="str">
        <f>IF(AND($G13=Lists!$D$42,$D13=DB$7),$F13,"")</f>
        <v/>
      </c>
      <c r="DC13" s="537"/>
      <c r="DD13" s="537"/>
      <c r="DE13" s="537" t="str">
        <f>IF(AND($G13=Lists!$D$42,$D13=DE$7),$F13,"")</f>
        <v/>
      </c>
    </row>
    <row r="14" spans="1:109">
      <c r="A14" s="532"/>
      <c r="B14" s="137"/>
      <c r="C14" s="139"/>
      <c r="D14" s="120" t="s">
        <v>1784</v>
      </c>
      <c r="E14" s="89"/>
      <c r="F14" s="128"/>
      <c r="G14" s="55" t="s">
        <v>1779</v>
      </c>
      <c r="H14" s="536"/>
      <c r="I14" s="537" t="str">
        <f t="shared" si="19"/>
        <v/>
      </c>
      <c r="J14" s="537" t="str">
        <f t="shared" si="16"/>
        <v/>
      </c>
      <c r="K14" s="537" t="str">
        <f t="shared" si="16"/>
        <v/>
      </c>
      <c r="L14" s="537" t="str">
        <f t="shared" si="17"/>
        <v/>
      </c>
      <c r="M14" s="537" t="str">
        <f t="shared" si="17"/>
        <v/>
      </c>
      <c r="N14" s="537">
        <f t="shared" si="16"/>
        <v>0</v>
      </c>
      <c r="O14" s="537" t="str">
        <f t="shared" si="16"/>
        <v/>
      </c>
      <c r="P14" s="537" t="str">
        <f t="shared" si="16"/>
        <v/>
      </c>
      <c r="Q14" s="537" t="str">
        <f t="shared" si="16"/>
        <v/>
      </c>
      <c r="R14" s="537" t="str">
        <f t="shared" si="16"/>
        <v/>
      </c>
      <c r="S14" s="537" t="str">
        <f t="shared" si="16"/>
        <v/>
      </c>
      <c r="T14" s="537" t="str">
        <f t="shared" si="16"/>
        <v/>
      </c>
      <c r="U14" s="537" t="str">
        <f t="shared" si="16"/>
        <v/>
      </c>
      <c r="V14" s="537" t="str">
        <f t="shared" si="16"/>
        <v/>
      </c>
      <c r="W14" s="537" t="str">
        <f t="shared" si="16"/>
        <v/>
      </c>
      <c r="X14" s="537" t="str">
        <f t="shared" si="16"/>
        <v/>
      </c>
      <c r="Y14" s="537" t="str">
        <f t="shared" si="16"/>
        <v/>
      </c>
      <c r="Z14" s="537" t="str">
        <f t="shared" si="16"/>
        <v/>
      </c>
      <c r="AA14" s="537" t="str">
        <f t="shared" si="16"/>
        <v/>
      </c>
      <c r="AB14" s="537" t="str">
        <f t="shared" si="16"/>
        <v/>
      </c>
      <c r="AC14" s="537" t="str">
        <f t="shared" si="16"/>
        <v/>
      </c>
      <c r="AD14" s="537" t="str">
        <f t="shared" si="16"/>
        <v/>
      </c>
      <c r="AE14" s="537" t="str">
        <f t="shared" si="18"/>
        <v/>
      </c>
      <c r="AF14" s="537" t="str">
        <f t="shared" si="16"/>
        <v/>
      </c>
      <c r="AG14" s="537" t="str">
        <f t="shared" si="16"/>
        <v/>
      </c>
      <c r="AH14" s="537" t="str">
        <f t="shared" si="16"/>
        <v/>
      </c>
      <c r="AI14" s="537" t="str">
        <f t="shared" si="16"/>
        <v/>
      </c>
      <c r="AJ14" s="537" t="str">
        <f t="shared" si="16"/>
        <v/>
      </c>
      <c r="AK14" s="537" t="str">
        <f t="shared" si="16"/>
        <v/>
      </c>
      <c r="AL14" s="537" t="str">
        <f t="shared" si="16"/>
        <v/>
      </c>
      <c r="AM14" s="537" t="str">
        <f t="shared" si="16"/>
        <v/>
      </c>
      <c r="AN14" s="537" t="str">
        <f t="shared" si="16"/>
        <v/>
      </c>
      <c r="AO14" s="537" t="str">
        <f t="shared" si="16"/>
        <v/>
      </c>
      <c r="AQ14" s="537" t="str">
        <f>IF(AND($G14=Lists!$D$41,$D14=AQ$7),$F14,"")</f>
        <v/>
      </c>
      <c r="AR14" s="537" t="str">
        <f>IF(AND($G14=Lists!$D$41,$D14=AR$7),$F14,"")</f>
        <v/>
      </c>
      <c r="AS14" s="537" t="str">
        <f>IF(AND($G14=Lists!$D$41,$D14=AS$7),$F14,"")</f>
        <v/>
      </c>
      <c r="AT14" s="537" t="str">
        <f>IF(AND($G14=Lists!$D$41,$D14=AT$7),$F14,"")</f>
        <v/>
      </c>
      <c r="AU14" s="537" t="str">
        <f>IF(AND($G14=Lists!$D$41,$D14=AU$7),$F14,"")</f>
        <v/>
      </c>
      <c r="AV14" s="537">
        <f>IF(AND($G14=Lists!$D$41,$D14=AV$7),$F14,"")</f>
        <v>0</v>
      </c>
      <c r="AW14" s="537" t="str">
        <f>IF(AND($G14=Lists!$D$41,$D14=AW$7),$F14,"")</f>
        <v/>
      </c>
      <c r="AX14" s="537" t="str">
        <f>IF(AND($G14=Lists!$D$41,$D14=AX$7),$F14,"")</f>
        <v/>
      </c>
      <c r="AY14" s="537" t="str">
        <f>IF(AND($G14=Lists!$D$41,$D14=AY$7),$F14,"")</f>
        <v/>
      </c>
      <c r="AZ14" s="537" t="str">
        <f>IF(AND($G14=Lists!$D$41,$D14=AZ$7),$F14,"")</f>
        <v/>
      </c>
      <c r="BA14" s="537" t="str">
        <f>IF(AND($G14=Lists!$D$41,$D14=BA$7),$F14,"")</f>
        <v/>
      </c>
      <c r="BB14" s="537" t="str">
        <f>IF(AND($G14=Lists!$D$41,$D14=BB$7),$F14,"")</f>
        <v/>
      </c>
      <c r="BC14" s="537" t="str">
        <f>IF(AND($G14=Lists!$D$41,$D14=BC$7),$F14,"")</f>
        <v/>
      </c>
      <c r="BD14" s="537" t="str">
        <f>IF(AND($G14=Lists!$D$41,$D14=BD$7),$F14,"")</f>
        <v/>
      </c>
      <c r="BE14" s="537" t="str">
        <f>IF(AND($G14=Lists!$D$41,$D14=BE$7),$F14,"")</f>
        <v/>
      </c>
      <c r="BF14" s="537" t="str">
        <f>IF(AND($G14=Lists!$D$41,$D14=BF$7),$F14,"")</f>
        <v/>
      </c>
      <c r="BG14" s="537" t="str">
        <f>IF(AND($G14=Lists!$D$41,$D14=BG$7),$F14,"")</f>
        <v/>
      </c>
      <c r="BH14" s="537" t="str">
        <f>IF(AND($G14=Lists!$D$41,$D14=BH$7),$F14,"")</f>
        <v/>
      </c>
      <c r="BI14" s="537" t="str">
        <f>IF(AND($G14=Lists!$D$41,$D14=BI$7),$F14,"")</f>
        <v/>
      </c>
      <c r="BJ14" s="537" t="str">
        <f>IF(AND($G14=Lists!$D$41,$D14=BJ$7),$F14,"")</f>
        <v/>
      </c>
      <c r="BK14" s="537" t="str">
        <f>IF(AND($G14=Lists!$D$41,$D14=BK$7),$F14,"")</f>
        <v/>
      </c>
      <c r="BL14" s="537" t="str">
        <f>IF(AND($G14=Lists!$D$41,$D14=BL$7),$F14,"")</f>
        <v/>
      </c>
      <c r="BM14" s="537" t="str">
        <f>IF(AND($G14=Lists!$D$41,$D14=BM$7),$F14,"")</f>
        <v/>
      </c>
      <c r="BN14" s="537" t="str">
        <f>IF(AND($G14=Lists!$D$41,$D14=BN$7),$F14,"")</f>
        <v/>
      </c>
      <c r="BO14" s="537" t="str">
        <f>IF(AND($G14=Lists!$D$41,$D14=BO$7),$F14,"")</f>
        <v/>
      </c>
      <c r="BP14" s="537" t="str">
        <f>IF(AND($G14=Lists!$D$41,$D14=BP$7),$F14,"")</f>
        <v/>
      </c>
      <c r="BQ14" s="537" t="str">
        <f>IF(AND($G14=Lists!$D$41,$D14=BQ$7),$F14,"")</f>
        <v/>
      </c>
      <c r="BR14" s="537" t="str">
        <f>IF(AND($G14=Lists!$D$41,$D14=BR$7),$F14,"")</f>
        <v/>
      </c>
      <c r="BS14" s="537" t="str">
        <f>IF(AND($G14=Lists!$D$41,$D14=BS$7),$F14,"")</f>
        <v/>
      </c>
      <c r="BT14" s="537" t="str">
        <f>IF(AND($G14=Lists!$D$41,$D14=BT$7),$F14,"")</f>
        <v/>
      </c>
      <c r="BU14" s="537" t="str">
        <f>IF(AND($G14=Lists!$D$41,$D14=BU$7),$F14,"")</f>
        <v/>
      </c>
      <c r="BV14" s="537" t="str">
        <f>IF(AND($G14=Lists!$D$41,$D14=BV$7),$F14,"")</f>
        <v/>
      </c>
      <c r="BW14" s="537" t="str">
        <f>IF(AND($G14=Lists!$D$41,$D14=BW$7),$F14,"")</f>
        <v/>
      </c>
      <c r="BY14" s="537" t="str">
        <f>IF(AND($G14=Lists!$D$42,$D14=BY$7),$F14,"")</f>
        <v/>
      </c>
      <c r="BZ14" s="537" t="str">
        <f>IF(AND($G14=Lists!$D$42,$D14=BZ$7),$F14,"")</f>
        <v/>
      </c>
      <c r="CA14" s="537" t="str">
        <f>IF(AND($G14=Lists!$D$42,$D14=CA$7),$F14,"")</f>
        <v/>
      </c>
      <c r="CB14" s="537" t="str">
        <f>IF(AND($G14=Lists!$D$42,$D14=CB$7),$F14,"")</f>
        <v/>
      </c>
      <c r="CC14" s="537" t="str">
        <f>IF(AND($G14=Lists!$D$42,$D14=CC$7),$F14,"")</f>
        <v/>
      </c>
      <c r="CD14" s="537" t="str">
        <f>IF(AND($G14=Lists!$D$42,$D14=CD$7),$F14,"")</f>
        <v/>
      </c>
      <c r="CE14" s="537" t="str">
        <f>IF(AND($G14=Lists!$D$42,$D14=CE$7),$F14,"")</f>
        <v/>
      </c>
      <c r="CF14" s="537" t="str">
        <f>IF(AND($G14=Lists!$D$42,$D14=CF$7),$F14,"")</f>
        <v/>
      </c>
      <c r="CG14" s="537" t="str">
        <f>IF(AND($G14=Lists!$D$42,$D14=CG$7),$F14,"")</f>
        <v/>
      </c>
      <c r="CH14" s="537" t="str">
        <f>IF(AND($G14=Lists!$D$42,$D14=CH$7),$F14,"")</f>
        <v/>
      </c>
      <c r="CI14" s="537" t="str">
        <f>IF(AND($G14=Lists!$D$42,$D14=CI$7),$F14,"")</f>
        <v/>
      </c>
      <c r="CJ14" s="537" t="str">
        <f>IF(AND($G14=Lists!$D$42,$D14=CJ$7),$F14,"")</f>
        <v/>
      </c>
      <c r="CK14" s="537" t="str">
        <f>IF(AND($G14=Lists!$D$42,$D14=CK$7),$F14,"")</f>
        <v/>
      </c>
      <c r="CL14" s="537" t="str">
        <f>IF(AND($G14=Lists!$D$42,$D14=CL$7),$F14,"")</f>
        <v/>
      </c>
      <c r="CM14" s="537" t="str">
        <f>IF(AND($G14=Lists!$D$42,$D14=CM$7),$F14,"")</f>
        <v/>
      </c>
      <c r="CN14" s="537" t="str">
        <f>IF(AND($G14=Lists!$D$42,$D14=CN$7),$F14,"")</f>
        <v/>
      </c>
      <c r="CO14" s="537" t="str">
        <f>IF(AND($G14=Lists!$D$42,$D14=CO$7),$F14,"")</f>
        <v/>
      </c>
      <c r="CP14" s="537" t="str">
        <f>IF(AND($G14=Lists!$D$42,$D14=CP$7),$F14,"")</f>
        <v/>
      </c>
      <c r="CQ14" s="537" t="str">
        <f>IF(AND($G14=Lists!$D$42,$D14=CQ$7),$F14,"")</f>
        <v/>
      </c>
      <c r="CR14" s="537" t="str">
        <f>IF(AND($G14=Lists!$D$42,$D14=CR$7),$F14,"")</f>
        <v/>
      </c>
      <c r="CS14" s="537" t="str">
        <f>IF(AND($G14=Lists!$D$42,$D14=CS$7),$F14,"")</f>
        <v/>
      </c>
      <c r="CT14" s="537" t="str">
        <f>IF(AND($G14=Lists!$D$42,$D14=CT$7),$F14,"")</f>
        <v/>
      </c>
      <c r="CU14" s="537" t="str">
        <f>IF(AND($G14=Lists!$D$42,$D14=CU$7),$F14,"")</f>
        <v/>
      </c>
      <c r="CV14" s="537" t="str">
        <f>IF(AND($G14=Lists!$D$42,$D14=CV$7),$F14,"")</f>
        <v/>
      </c>
      <c r="CW14" s="537" t="str">
        <f>IF(AND($G14=Lists!$D$42,$D14=CW$7),$F14,"")</f>
        <v/>
      </c>
      <c r="CX14" s="537" t="str">
        <f>IF(AND($G14=Lists!$D$42,$D14=CX$7),$F14,"")</f>
        <v/>
      </c>
      <c r="CY14" s="537" t="str">
        <f>IF(AND($G14=Lists!$D$42,$D14=CY$7),$F14,"")</f>
        <v/>
      </c>
      <c r="CZ14" s="537" t="str">
        <f>IF(AND($G14=Lists!$D$42,$D14=CZ$7),$F14,"")</f>
        <v/>
      </c>
      <c r="DA14" s="537" t="str">
        <f>IF(AND($G14=Lists!$D$42,$D14=DA$7),$F14,"")</f>
        <v/>
      </c>
      <c r="DB14" s="537" t="str">
        <f>IF(AND($G14=Lists!$D$42,$D14=DB$7),$F14,"")</f>
        <v/>
      </c>
      <c r="DC14" s="537"/>
      <c r="DD14" s="537"/>
      <c r="DE14" s="537" t="str">
        <f>IF(AND($G14=Lists!$D$42,$D14=DE$7),$F14,"")</f>
        <v/>
      </c>
    </row>
    <row r="15" spans="1:109">
      <c r="A15" s="532"/>
      <c r="B15" s="137"/>
      <c r="C15" s="139"/>
      <c r="D15" s="120" t="s">
        <v>1785</v>
      </c>
      <c r="E15" s="89"/>
      <c r="F15" s="128"/>
      <c r="G15" s="55" t="s">
        <v>1779</v>
      </c>
      <c r="H15" s="536"/>
      <c r="I15" s="537" t="str">
        <f t="shared" si="19"/>
        <v/>
      </c>
      <c r="J15" s="537" t="str">
        <f t="shared" si="16"/>
        <v/>
      </c>
      <c r="K15" s="537" t="str">
        <f t="shared" si="16"/>
        <v/>
      </c>
      <c r="L15" s="537" t="str">
        <f t="shared" si="17"/>
        <v/>
      </c>
      <c r="M15" s="537" t="str">
        <f t="shared" si="17"/>
        <v/>
      </c>
      <c r="N15" s="537" t="str">
        <f t="shared" si="16"/>
        <v/>
      </c>
      <c r="O15" s="537">
        <f t="shared" si="16"/>
        <v>0</v>
      </c>
      <c r="P15" s="537" t="str">
        <f t="shared" si="16"/>
        <v/>
      </c>
      <c r="Q15" s="537" t="str">
        <f t="shared" si="16"/>
        <v/>
      </c>
      <c r="R15" s="537" t="str">
        <f t="shared" si="16"/>
        <v/>
      </c>
      <c r="S15" s="537" t="str">
        <f t="shared" si="16"/>
        <v/>
      </c>
      <c r="T15" s="537" t="str">
        <f t="shared" si="16"/>
        <v/>
      </c>
      <c r="U15" s="537" t="str">
        <f t="shared" si="16"/>
        <v/>
      </c>
      <c r="V15" s="537" t="str">
        <f t="shared" si="16"/>
        <v/>
      </c>
      <c r="W15" s="537" t="str">
        <f t="shared" si="16"/>
        <v/>
      </c>
      <c r="X15" s="537" t="str">
        <f t="shared" si="16"/>
        <v/>
      </c>
      <c r="Y15" s="537" t="str">
        <f t="shared" si="16"/>
        <v/>
      </c>
      <c r="Z15" s="537" t="str">
        <f t="shared" si="16"/>
        <v/>
      </c>
      <c r="AA15" s="537" t="str">
        <f t="shared" si="16"/>
        <v/>
      </c>
      <c r="AB15" s="537" t="str">
        <f t="shared" si="16"/>
        <v/>
      </c>
      <c r="AC15" s="537" t="str">
        <f t="shared" si="16"/>
        <v/>
      </c>
      <c r="AD15" s="537" t="str">
        <f t="shared" si="16"/>
        <v/>
      </c>
      <c r="AE15" s="537" t="str">
        <f t="shared" si="18"/>
        <v/>
      </c>
      <c r="AF15" s="537" t="str">
        <f t="shared" si="16"/>
        <v/>
      </c>
      <c r="AG15" s="537" t="str">
        <f t="shared" si="16"/>
        <v/>
      </c>
      <c r="AH15" s="537" t="str">
        <f t="shared" si="16"/>
        <v/>
      </c>
      <c r="AI15" s="537" t="str">
        <f t="shared" si="16"/>
        <v/>
      </c>
      <c r="AJ15" s="537" t="str">
        <f t="shared" si="16"/>
        <v/>
      </c>
      <c r="AK15" s="537" t="str">
        <f t="shared" si="16"/>
        <v/>
      </c>
      <c r="AL15" s="537" t="str">
        <f t="shared" si="16"/>
        <v/>
      </c>
      <c r="AM15" s="537" t="str">
        <f t="shared" si="16"/>
        <v/>
      </c>
      <c r="AN15" s="537" t="str">
        <f t="shared" si="16"/>
        <v/>
      </c>
      <c r="AO15" s="537" t="str">
        <f t="shared" si="16"/>
        <v/>
      </c>
      <c r="AQ15" s="537" t="str">
        <f>IF(AND($G15=Lists!$D$41,$D15=AQ$7),$F15,"")</f>
        <v/>
      </c>
      <c r="AR15" s="537" t="str">
        <f>IF(AND($G15=Lists!$D$41,$D15=AR$7),$F15,"")</f>
        <v/>
      </c>
      <c r="AS15" s="537" t="str">
        <f>IF(AND($G15=Lists!$D$41,$D15=AS$7),$F15,"")</f>
        <v/>
      </c>
      <c r="AT15" s="537" t="str">
        <f>IF(AND($G15=Lists!$D$41,$D15=AT$7),$F15,"")</f>
        <v/>
      </c>
      <c r="AU15" s="537" t="str">
        <f>IF(AND($G15=Lists!$D$41,$D15=AU$7),$F15,"")</f>
        <v/>
      </c>
      <c r="AV15" s="537" t="str">
        <f>IF(AND($G15=Lists!$D$41,$D15=AV$7),$F15,"")</f>
        <v/>
      </c>
      <c r="AW15" s="537">
        <f>IF(AND($G15=Lists!$D$41,$D15=AW$7),$F15,"")</f>
        <v>0</v>
      </c>
      <c r="AX15" s="537" t="str">
        <f>IF(AND($G15=Lists!$D$41,$D15=AX$7),$F15,"")</f>
        <v/>
      </c>
      <c r="AY15" s="537" t="str">
        <f>IF(AND($G15=Lists!$D$41,$D15=AY$7),$F15,"")</f>
        <v/>
      </c>
      <c r="AZ15" s="537" t="str">
        <f>IF(AND($G15=Lists!$D$41,$D15=AZ$7),$F15,"")</f>
        <v/>
      </c>
      <c r="BA15" s="537" t="str">
        <f>IF(AND($G15=Lists!$D$41,$D15=BA$7),$F15,"")</f>
        <v/>
      </c>
      <c r="BB15" s="537" t="str">
        <f>IF(AND($G15=Lists!$D$41,$D15=BB$7),$F15,"")</f>
        <v/>
      </c>
      <c r="BC15" s="537" t="str">
        <f>IF(AND($G15=Lists!$D$41,$D15=BC$7),$F15,"")</f>
        <v/>
      </c>
      <c r="BD15" s="537" t="str">
        <f>IF(AND($G15=Lists!$D$41,$D15=BD$7),$F15,"")</f>
        <v/>
      </c>
      <c r="BE15" s="537" t="str">
        <f>IF(AND($G15=Lists!$D$41,$D15=BE$7),$F15,"")</f>
        <v/>
      </c>
      <c r="BF15" s="537" t="str">
        <f>IF(AND($G15=Lists!$D$41,$D15=BF$7),$F15,"")</f>
        <v/>
      </c>
      <c r="BG15" s="537" t="str">
        <f>IF(AND($G15=Lists!$D$41,$D15=BG$7),$F15,"")</f>
        <v/>
      </c>
      <c r="BH15" s="537" t="str">
        <f>IF(AND($G15=Lists!$D$41,$D15=BH$7),$F15,"")</f>
        <v/>
      </c>
      <c r="BI15" s="537" t="str">
        <f>IF(AND($G15=Lists!$D$41,$D15=BI$7),$F15,"")</f>
        <v/>
      </c>
      <c r="BJ15" s="537" t="str">
        <f>IF(AND($G15=Lists!$D$41,$D15=BJ$7),$F15,"")</f>
        <v/>
      </c>
      <c r="BK15" s="537" t="str">
        <f>IF(AND($G15=Lists!$D$41,$D15=BK$7),$F15,"")</f>
        <v/>
      </c>
      <c r="BL15" s="537" t="str">
        <f>IF(AND($G15=Lists!$D$41,$D15=BL$7),$F15,"")</f>
        <v/>
      </c>
      <c r="BM15" s="537" t="str">
        <f>IF(AND($G15=Lists!$D$41,$D15=BM$7),$F15,"")</f>
        <v/>
      </c>
      <c r="BN15" s="537" t="str">
        <f>IF(AND($G15=Lists!$D$41,$D15=BN$7),$F15,"")</f>
        <v/>
      </c>
      <c r="BO15" s="537" t="str">
        <f>IF(AND($G15=Lists!$D$41,$D15=BO$7),$F15,"")</f>
        <v/>
      </c>
      <c r="BP15" s="537" t="str">
        <f>IF(AND($G15=Lists!$D$41,$D15=BP$7),$F15,"")</f>
        <v/>
      </c>
      <c r="BQ15" s="537" t="str">
        <f>IF(AND($G15=Lists!$D$41,$D15=BQ$7),$F15,"")</f>
        <v/>
      </c>
      <c r="BR15" s="537" t="str">
        <f>IF(AND($G15=Lists!$D$41,$D15=BR$7),$F15,"")</f>
        <v/>
      </c>
      <c r="BS15" s="537" t="str">
        <f>IF(AND($G15=Lists!$D$41,$D15=BS$7),$F15,"")</f>
        <v/>
      </c>
      <c r="BT15" s="537" t="str">
        <f>IF(AND($G15=Lists!$D$41,$D15=BT$7),$F15,"")</f>
        <v/>
      </c>
      <c r="BU15" s="537" t="str">
        <f>IF(AND($G15=Lists!$D$41,$D15=BU$7),$F15,"")</f>
        <v/>
      </c>
      <c r="BV15" s="537" t="str">
        <f>IF(AND($G15=Lists!$D$41,$D15=BV$7),$F15,"")</f>
        <v/>
      </c>
      <c r="BW15" s="537" t="str">
        <f>IF(AND($G15=Lists!$D$41,$D15=BW$7),$F15,"")</f>
        <v/>
      </c>
      <c r="BY15" s="537" t="str">
        <f>IF(AND($G15=Lists!$D$42,$D15=BY$7),$F15,"")</f>
        <v/>
      </c>
      <c r="BZ15" s="537" t="str">
        <f>IF(AND($G15=Lists!$D$42,$D15=BZ$7),$F15,"")</f>
        <v/>
      </c>
      <c r="CA15" s="537" t="str">
        <f>IF(AND($G15=Lists!$D$42,$D15=CA$7),$F15,"")</f>
        <v/>
      </c>
      <c r="CB15" s="537" t="str">
        <f>IF(AND($G15=Lists!$D$42,$D15=CB$7),$F15,"")</f>
        <v/>
      </c>
      <c r="CC15" s="537" t="str">
        <f>IF(AND($G15=Lists!$D$42,$D15=CC$7),$F15,"")</f>
        <v/>
      </c>
      <c r="CD15" s="537" t="str">
        <f>IF(AND($G15=Lists!$D$42,$D15=CD$7),$F15,"")</f>
        <v/>
      </c>
      <c r="CE15" s="537" t="str">
        <f>IF(AND($G15=Lists!$D$42,$D15=CE$7),$F15,"")</f>
        <v/>
      </c>
      <c r="CF15" s="537" t="str">
        <f>IF(AND($G15=Lists!$D$42,$D15=CF$7),$F15,"")</f>
        <v/>
      </c>
      <c r="CG15" s="537" t="str">
        <f>IF(AND($G15=Lists!$D$42,$D15=CG$7),$F15,"")</f>
        <v/>
      </c>
      <c r="CH15" s="537" t="str">
        <f>IF(AND($G15=Lists!$D$42,$D15=CH$7),$F15,"")</f>
        <v/>
      </c>
      <c r="CI15" s="537" t="str">
        <f>IF(AND($G15=Lists!$D$42,$D15=CI$7),$F15,"")</f>
        <v/>
      </c>
      <c r="CJ15" s="537" t="str">
        <f>IF(AND($G15=Lists!$D$42,$D15=CJ$7),$F15,"")</f>
        <v/>
      </c>
      <c r="CK15" s="537" t="str">
        <f>IF(AND($G15=Lists!$D$42,$D15=CK$7),$F15,"")</f>
        <v/>
      </c>
      <c r="CL15" s="537" t="str">
        <f>IF(AND($G15=Lists!$D$42,$D15=CL$7),$F15,"")</f>
        <v/>
      </c>
      <c r="CM15" s="537" t="str">
        <f>IF(AND($G15=Lists!$D$42,$D15=CM$7),$F15,"")</f>
        <v/>
      </c>
      <c r="CN15" s="537" t="str">
        <f>IF(AND($G15=Lists!$D$42,$D15=CN$7),$F15,"")</f>
        <v/>
      </c>
      <c r="CO15" s="537" t="str">
        <f>IF(AND($G15=Lists!$D$42,$D15=CO$7),$F15,"")</f>
        <v/>
      </c>
      <c r="CP15" s="537" t="str">
        <f>IF(AND($G15=Lists!$D$42,$D15=CP$7),$F15,"")</f>
        <v/>
      </c>
      <c r="CQ15" s="537" t="str">
        <f>IF(AND($G15=Lists!$D$42,$D15=CQ$7),$F15,"")</f>
        <v/>
      </c>
      <c r="CR15" s="537" t="str">
        <f>IF(AND($G15=Lists!$D$42,$D15=CR$7),$F15,"")</f>
        <v/>
      </c>
      <c r="CS15" s="537" t="str">
        <f>IF(AND($G15=Lists!$D$42,$D15=CS$7),$F15,"")</f>
        <v/>
      </c>
      <c r="CT15" s="537" t="str">
        <f>IF(AND($G15=Lists!$D$42,$D15=CT$7),$F15,"")</f>
        <v/>
      </c>
      <c r="CU15" s="537" t="str">
        <f>IF(AND($G15=Lists!$D$42,$D15=CU$7),$F15,"")</f>
        <v/>
      </c>
      <c r="CV15" s="537" t="str">
        <f>IF(AND($G15=Lists!$D$42,$D15=CV$7),$F15,"")</f>
        <v/>
      </c>
      <c r="CW15" s="537" t="str">
        <f>IF(AND($G15=Lists!$D$42,$D15=CW$7),$F15,"")</f>
        <v/>
      </c>
      <c r="CX15" s="537" t="str">
        <f>IF(AND($G15=Lists!$D$42,$D15=CX$7),$F15,"")</f>
        <v/>
      </c>
      <c r="CY15" s="537" t="str">
        <f>IF(AND($G15=Lists!$D$42,$D15=CY$7),$F15,"")</f>
        <v/>
      </c>
      <c r="CZ15" s="537" t="str">
        <f>IF(AND($G15=Lists!$D$42,$D15=CZ$7),$F15,"")</f>
        <v/>
      </c>
      <c r="DA15" s="537" t="str">
        <f>IF(AND($G15=Lists!$D$42,$D15=DA$7),$F15,"")</f>
        <v/>
      </c>
      <c r="DB15" s="537" t="str">
        <f>IF(AND($G15=Lists!$D$42,$D15=DB$7),$F15,"")</f>
        <v/>
      </c>
      <c r="DC15" s="537"/>
      <c r="DD15" s="537"/>
      <c r="DE15" s="537" t="str">
        <f>IF(AND($G15=Lists!$D$42,$D15=DE$7),$F15,"")</f>
        <v/>
      </c>
    </row>
    <row r="16" spans="1:109">
      <c r="A16" s="532"/>
      <c r="B16" s="137"/>
      <c r="C16" s="139"/>
      <c r="D16" s="120" t="s">
        <v>1786</v>
      </c>
      <c r="E16" s="89"/>
      <c r="F16" s="128"/>
      <c r="G16" s="55" t="s">
        <v>1779</v>
      </c>
      <c r="H16" s="536"/>
      <c r="I16" s="537" t="str">
        <f t="shared" si="19"/>
        <v/>
      </c>
      <c r="J16" s="537" t="str">
        <f t="shared" si="16"/>
        <v/>
      </c>
      <c r="K16" s="537" t="str">
        <f t="shared" si="16"/>
        <v/>
      </c>
      <c r="L16" s="537" t="str">
        <f t="shared" si="17"/>
        <v/>
      </c>
      <c r="M16" s="537" t="str">
        <f t="shared" si="17"/>
        <v/>
      </c>
      <c r="N16" s="537" t="str">
        <f t="shared" si="16"/>
        <v/>
      </c>
      <c r="O16" s="537" t="str">
        <f t="shared" si="16"/>
        <v/>
      </c>
      <c r="P16" s="537">
        <f t="shared" si="16"/>
        <v>0</v>
      </c>
      <c r="Q16" s="537" t="str">
        <f t="shared" si="16"/>
        <v/>
      </c>
      <c r="R16" s="537" t="str">
        <f t="shared" si="16"/>
        <v/>
      </c>
      <c r="S16" s="537" t="str">
        <f t="shared" si="16"/>
        <v/>
      </c>
      <c r="T16" s="537" t="str">
        <f t="shared" si="16"/>
        <v/>
      </c>
      <c r="U16" s="537" t="str">
        <f t="shared" si="16"/>
        <v/>
      </c>
      <c r="V16" s="537" t="str">
        <f t="shared" si="16"/>
        <v/>
      </c>
      <c r="W16" s="537" t="str">
        <f t="shared" si="16"/>
        <v/>
      </c>
      <c r="X16" s="537" t="str">
        <f t="shared" si="16"/>
        <v/>
      </c>
      <c r="Y16" s="537" t="str">
        <f t="shared" si="16"/>
        <v/>
      </c>
      <c r="Z16" s="537" t="str">
        <f t="shared" si="16"/>
        <v/>
      </c>
      <c r="AA16" s="537" t="str">
        <f t="shared" si="16"/>
        <v/>
      </c>
      <c r="AB16" s="537" t="str">
        <f t="shared" si="16"/>
        <v/>
      </c>
      <c r="AC16" s="537" t="str">
        <f t="shared" si="16"/>
        <v/>
      </c>
      <c r="AD16" s="537" t="str">
        <f t="shared" si="16"/>
        <v/>
      </c>
      <c r="AE16" s="537" t="str">
        <f t="shared" si="18"/>
        <v/>
      </c>
      <c r="AF16" s="537" t="str">
        <f t="shared" si="16"/>
        <v/>
      </c>
      <c r="AG16" s="537" t="str">
        <f t="shared" si="16"/>
        <v/>
      </c>
      <c r="AH16" s="537" t="str">
        <f t="shared" si="16"/>
        <v/>
      </c>
      <c r="AI16" s="537" t="str">
        <f t="shared" si="16"/>
        <v/>
      </c>
      <c r="AJ16" s="537" t="str">
        <f t="shared" si="16"/>
        <v/>
      </c>
      <c r="AK16" s="537" t="str">
        <f t="shared" si="16"/>
        <v/>
      </c>
      <c r="AL16" s="537" t="str">
        <f t="shared" si="16"/>
        <v/>
      </c>
      <c r="AM16" s="537" t="str">
        <f t="shared" si="16"/>
        <v/>
      </c>
      <c r="AN16" s="537" t="str">
        <f t="shared" si="16"/>
        <v/>
      </c>
      <c r="AO16" s="537" t="str">
        <f t="shared" si="16"/>
        <v/>
      </c>
      <c r="AQ16" s="537" t="str">
        <f>IF(AND($G16=Lists!$D$41,$D16=AQ$7),$F16,"")</f>
        <v/>
      </c>
      <c r="AR16" s="537" t="str">
        <f>IF(AND($G16=Lists!$D$41,$D16=AR$7),$F16,"")</f>
        <v/>
      </c>
      <c r="AS16" s="537" t="str">
        <f>IF(AND($G16=Lists!$D$41,$D16=AS$7),$F16,"")</f>
        <v/>
      </c>
      <c r="AT16" s="537" t="str">
        <f>IF(AND($G16=Lists!$D$41,$D16=AT$7),$F16,"")</f>
        <v/>
      </c>
      <c r="AU16" s="537" t="str">
        <f>IF(AND($G16=Lists!$D$41,$D16=AU$7),$F16,"")</f>
        <v/>
      </c>
      <c r="AV16" s="537" t="str">
        <f>IF(AND($G16=Lists!$D$41,$D16=AV$7),$F16,"")</f>
        <v/>
      </c>
      <c r="AW16" s="537" t="str">
        <f>IF(AND($G16=Lists!$D$41,$D16=AW$7),$F16,"")</f>
        <v/>
      </c>
      <c r="AX16" s="537">
        <f>IF(AND($G16=Lists!$D$41,$D16=AX$7),$F16,"")</f>
        <v>0</v>
      </c>
      <c r="AY16" s="537" t="str">
        <f>IF(AND($G16=Lists!$D$41,$D16=AY$7),$F16,"")</f>
        <v/>
      </c>
      <c r="AZ16" s="537" t="str">
        <f>IF(AND($G16=Lists!$D$41,$D16=AZ$7),$F16,"")</f>
        <v/>
      </c>
      <c r="BA16" s="537" t="str">
        <f>IF(AND($G16=Lists!$D$41,$D16=BA$7),$F16,"")</f>
        <v/>
      </c>
      <c r="BB16" s="537" t="str">
        <f>IF(AND($G16=Lists!$D$41,$D16=BB$7),$F16,"")</f>
        <v/>
      </c>
      <c r="BC16" s="537" t="str">
        <f>IF(AND($G16=Lists!$D$41,$D16=BC$7),$F16,"")</f>
        <v/>
      </c>
      <c r="BD16" s="537" t="str">
        <f>IF(AND($G16=Lists!$D$41,$D16=BD$7),$F16,"")</f>
        <v/>
      </c>
      <c r="BE16" s="537" t="str">
        <f>IF(AND($G16=Lists!$D$41,$D16=BE$7),$F16,"")</f>
        <v/>
      </c>
      <c r="BF16" s="537" t="str">
        <f>IF(AND($G16=Lists!$D$41,$D16=BF$7),$F16,"")</f>
        <v/>
      </c>
      <c r="BG16" s="537" t="str">
        <f>IF(AND($G16=Lists!$D$41,$D16=BG$7),$F16,"")</f>
        <v/>
      </c>
      <c r="BH16" s="537" t="str">
        <f>IF(AND($G16=Lists!$D$41,$D16=BH$7),$F16,"")</f>
        <v/>
      </c>
      <c r="BI16" s="537" t="str">
        <f>IF(AND($G16=Lists!$D$41,$D16=BI$7),$F16,"")</f>
        <v/>
      </c>
      <c r="BJ16" s="537" t="str">
        <f>IF(AND($G16=Lists!$D$41,$D16=BJ$7),$F16,"")</f>
        <v/>
      </c>
      <c r="BK16" s="537" t="str">
        <f>IF(AND($G16=Lists!$D$41,$D16=BK$7),$F16,"")</f>
        <v/>
      </c>
      <c r="BL16" s="537" t="str">
        <f>IF(AND($G16=Lists!$D$41,$D16=BL$7),$F16,"")</f>
        <v/>
      </c>
      <c r="BM16" s="537" t="str">
        <f>IF(AND($G16=Lists!$D$41,$D16=BM$7),$F16,"")</f>
        <v/>
      </c>
      <c r="BN16" s="537" t="str">
        <f>IF(AND($G16=Lists!$D$41,$D16=BN$7),$F16,"")</f>
        <v/>
      </c>
      <c r="BO16" s="537" t="str">
        <f>IF(AND($G16=Lists!$D$41,$D16=BO$7),$F16,"")</f>
        <v/>
      </c>
      <c r="BP16" s="537" t="str">
        <f>IF(AND($G16=Lists!$D$41,$D16=BP$7),$F16,"")</f>
        <v/>
      </c>
      <c r="BQ16" s="537" t="str">
        <f>IF(AND($G16=Lists!$D$41,$D16=BQ$7),$F16,"")</f>
        <v/>
      </c>
      <c r="BR16" s="537" t="str">
        <f>IF(AND($G16=Lists!$D$41,$D16=BR$7),$F16,"")</f>
        <v/>
      </c>
      <c r="BS16" s="537" t="str">
        <f>IF(AND($G16=Lists!$D$41,$D16=BS$7),$F16,"")</f>
        <v/>
      </c>
      <c r="BT16" s="537" t="str">
        <f>IF(AND($G16=Lists!$D$41,$D16=BT$7),$F16,"")</f>
        <v/>
      </c>
      <c r="BU16" s="537" t="str">
        <f>IF(AND($G16=Lists!$D$41,$D16=BU$7),$F16,"")</f>
        <v/>
      </c>
      <c r="BV16" s="537" t="str">
        <f>IF(AND($G16=Lists!$D$41,$D16=BV$7),$F16,"")</f>
        <v/>
      </c>
      <c r="BW16" s="537" t="str">
        <f>IF(AND($G16=Lists!$D$41,$D16=BW$7),$F16,"")</f>
        <v/>
      </c>
      <c r="BY16" s="537" t="str">
        <f>IF(AND($G16=Lists!$D$42,$D16=BY$7),$F16,"")</f>
        <v/>
      </c>
      <c r="BZ16" s="537" t="str">
        <f>IF(AND($G16=Lists!$D$42,$D16=BZ$7),$F16,"")</f>
        <v/>
      </c>
      <c r="CA16" s="537" t="str">
        <f>IF(AND($G16=Lists!$D$42,$D16=CA$7),$F16,"")</f>
        <v/>
      </c>
      <c r="CB16" s="537" t="str">
        <f>IF(AND($G16=Lists!$D$42,$D16=CB$7),$F16,"")</f>
        <v/>
      </c>
      <c r="CC16" s="537" t="str">
        <f>IF(AND($G16=Lists!$D$42,$D16=CC$7),$F16,"")</f>
        <v/>
      </c>
      <c r="CD16" s="537" t="str">
        <f>IF(AND($G16=Lists!$D$42,$D16=CD$7),$F16,"")</f>
        <v/>
      </c>
      <c r="CE16" s="537" t="str">
        <f>IF(AND($G16=Lists!$D$42,$D16=CE$7),$F16,"")</f>
        <v/>
      </c>
      <c r="CF16" s="537" t="str">
        <f>IF(AND($G16=Lists!$D$42,$D16=CF$7),$F16,"")</f>
        <v/>
      </c>
      <c r="CG16" s="537" t="str">
        <f>IF(AND($G16=Lists!$D$42,$D16=CG$7),$F16,"")</f>
        <v/>
      </c>
      <c r="CH16" s="537" t="str">
        <f>IF(AND($G16=Lists!$D$42,$D16=CH$7),$F16,"")</f>
        <v/>
      </c>
      <c r="CI16" s="537" t="str">
        <f>IF(AND($G16=Lists!$D$42,$D16=CI$7),$F16,"")</f>
        <v/>
      </c>
      <c r="CJ16" s="537" t="str">
        <f>IF(AND($G16=Lists!$D$42,$D16=CJ$7),$F16,"")</f>
        <v/>
      </c>
      <c r="CK16" s="537" t="str">
        <f>IF(AND($G16=Lists!$D$42,$D16=CK$7),$F16,"")</f>
        <v/>
      </c>
      <c r="CL16" s="537" t="str">
        <f>IF(AND($G16=Lists!$D$42,$D16=CL$7),$F16,"")</f>
        <v/>
      </c>
      <c r="CM16" s="537" t="str">
        <f>IF(AND($G16=Lists!$D$42,$D16=CM$7),$F16,"")</f>
        <v/>
      </c>
      <c r="CN16" s="537" t="str">
        <f>IF(AND($G16=Lists!$D$42,$D16=CN$7),$F16,"")</f>
        <v/>
      </c>
      <c r="CO16" s="537" t="str">
        <f>IF(AND($G16=Lists!$D$42,$D16=CO$7),$F16,"")</f>
        <v/>
      </c>
      <c r="CP16" s="537" t="str">
        <f>IF(AND($G16=Lists!$D$42,$D16=CP$7),$F16,"")</f>
        <v/>
      </c>
      <c r="CQ16" s="537" t="str">
        <f>IF(AND($G16=Lists!$D$42,$D16=CQ$7),$F16,"")</f>
        <v/>
      </c>
      <c r="CR16" s="537" t="str">
        <f>IF(AND($G16=Lists!$D$42,$D16=CR$7),$F16,"")</f>
        <v/>
      </c>
      <c r="CS16" s="537" t="str">
        <f>IF(AND($G16=Lists!$D$42,$D16=CS$7),$F16,"")</f>
        <v/>
      </c>
      <c r="CT16" s="537" t="str">
        <f>IF(AND($G16=Lists!$D$42,$D16=CT$7),$F16,"")</f>
        <v/>
      </c>
      <c r="CU16" s="537" t="str">
        <f>IF(AND($G16=Lists!$D$42,$D16=CU$7),$F16,"")</f>
        <v/>
      </c>
      <c r="CV16" s="537" t="str">
        <f>IF(AND($G16=Lists!$D$42,$D16=CV$7),$F16,"")</f>
        <v/>
      </c>
      <c r="CW16" s="537" t="str">
        <f>IF(AND($G16=Lists!$D$42,$D16=CW$7),$F16,"")</f>
        <v/>
      </c>
      <c r="CX16" s="537" t="str">
        <f>IF(AND($G16=Lists!$D$42,$D16=CX$7),$F16,"")</f>
        <v/>
      </c>
      <c r="CY16" s="537" t="str">
        <f>IF(AND($G16=Lists!$D$42,$D16=CY$7),$F16,"")</f>
        <v/>
      </c>
      <c r="CZ16" s="537" t="str">
        <f>IF(AND($G16=Lists!$D$42,$D16=CZ$7),$F16,"")</f>
        <v/>
      </c>
      <c r="DA16" s="537" t="str">
        <f>IF(AND($G16=Lists!$D$42,$D16=DA$7),$F16,"")</f>
        <v/>
      </c>
      <c r="DB16" s="537" t="str">
        <f>IF(AND($G16=Lists!$D$42,$D16=DB$7),$F16,"")</f>
        <v/>
      </c>
      <c r="DC16" s="537"/>
      <c r="DD16" s="537"/>
      <c r="DE16" s="537" t="str">
        <f>IF(AND($G16=Lists!$D$42,$D16=DE$7),$F16,"")</f>
        <v/>
      </c>
    </row>
    <row r="17" spans="1:109">
      <c r="A17" s="532"/>
      <c r="B17" s="137"/>
      <c r="C17" s="139"/>
      <c r="D17" s="120" t="s">
        <v>1787</v>
      </c>
      <c r="E17" s="89"/>
      <c r="F17" s="128"/>
      <c r="G17" s="55" t="s">
        <v>1779</v>
      </c>
      <c r="H17" s="536"/>
      <c r="I17" s="537" t="str">
        <f t="shared" si="19"/>
        <v/>
      </c>
      <c r="J17" s="537" t="str">
        <f t="shared" si="16"/>
        <v/>
      </c>
      <c r="K17" s="537" t="str">
        <f t="shared" si="16"/>
        <v/>
      </c>
      <c r="L17" s="537" t="str">
        <f t="shared" si="17"/>
        <v/>
      </c>
      <c r="M17" s="537" t="str">
        <f t="shared" si="17"/>
        <v/>
      </c>
      <c r="N17" s="537" t="str">
        <f t="shared" si="16"/>
        <v/>
      </c>
      <c r="O17" s="537" t="str">
        <f t="shared" si="16"/>
        <v/>
      </c>
      <c r="P17" s="537" t="str">
        <f t="shared" si="16"/>
        <v/>
      </c>
      <c r="Q17" s="537">
        <f t="shared" si="16"/>
        <v>0</v>
      </c>
      <c r="R17" s="537" t="str">
        <f t="shared" si="16"/>
        <v/>
      </c>
      <c r="S17" s="537" t="str">
        <f t="shared" si="16"/>
        <v/>
      </c>
      <c r="T17" s="537" t="str">
        <f t="shared" si="16"/>
        <v/>
      </c>
      <c r="U17" s="537" t="str">
        <f t="shared" si="16"/>
        <v/>
      </c>
      <c r="V17" s="537" t="str">
        <f t="shared" si="16"/>
        <v/>
      </c>
      <c r="W17" s="537" t="str">
        <f t="shared" si="16"/>
        <v/>
      </c>
      <c r="X17" s="537" t="str">
        <f t="shared" si="16"/>
        <v/>
      </c>
      <c r="Y17" s="537" t="str">
        <f t="shared" si="16"/>
        <v/>
      </c>
      <c r="Z17" s="537" t="str">
        <f t="shared" si="16"/>
        <v/>
      </c>
      <c r="AA17" s="537" t="str">
        <f t="shared" ref="AA17:AO34" si="20">IF($D17=AA$7,$E17,"")</f>
        <v/>
      </c>
      <c r="AB17" s="537" t="str">
        <f t="shared" si="20"/>
        <v/>
      </c>
      <c r="AC17" s="537" t="str">
        <f t="shared" si="20"/>
        <v/>
      </c>
      <c r="AD17" s="537" t="str">
        <f t="shared" si="20"/>
        <v/>
      </c>
      <c r="AE17" s="537" t="str">
        <f t="shared" si="18"/>
        <v/>
      </c>
      <c r="AF17" s="537" t="str">
        <f t="shared" si="20"/>
        <v/>
      </c>
      <c r="AG17" s="537" t="str">
        <f t="shared" si="20"/>
        <v/>
      </c>
      <c r="AH17" s="537" t="str">
        <f t="shared" si="20"/>
        <v/>
      </c>
      <c r="AI17" s="537" t="str">
        <f t="shared" si="20"/>
        <v/>
      </c>
      <c r="AJ17" s="537" t="str">
        <f t="shared" si="20"/>
        <v/>
      </c>
      <c r="AK17" s="537" t="str">
        <f t="shared" si="20"/>
        <v/>
      </c>
      <c r="AL17" s="537" t="str">
        <f t="shared" si="20"/>
        <v/>
      </c>
      <c r="AM17" s="537" t="str">
        <f t="shared" si="20"/>
        <v/>
      </c>
      <c r="AN17" s="537" t="str">
        <f t="shared" si="20"/>
        <v/>
      </c>
      <c r="AO17" s="537" t="str">
        <f t="shared" si="20"/>
        <v/>
      </c>
      <c r="AQ17" s="537" t="str">
        <f>IF(AND($G17=Lists!$D$41,$D17=AQ$7),$F17,"")</f>
        <v/>
      </c>
      <c r="AR17" s="537" t="str">
        <f>IF(AND($G17=Lists!$D$41,$D17=AR$7),$F17,"")</f>
        <v/>
      </c>
      <c r="AS17" s="537" t="str">
        <f>IF(AND($G17=Lists!$D$41,$D17=AS$7),$F17,"")</f>
        <v/>
      </c>
      <c r="AT17" s="537" t="str">
        <f>IF(AND($G17=Lists!$D$41,$D17=AT$7),$F17,"")</f>
        <v/>
      </c>
      <c r="AU17" s="537" t="str">
        <f>IF(AND($G17=Lists!$D$41,$D17=AU$7),$F17,"")</f>
        <v/>
      </c>
      <c r="AV17" s="537" t="str">
        <f>IF(AND($G17=Lists!$D$41,$D17=AV$7),$F17,"")</f>
        <v/>
      </c>
      <c r="AW17" s="537" t="str">
        <f>IF(AND($G17=Lists!$D$41,$D17=AW$7),$F17,"")</f>
        <v/>
      </c>
      <c r="AX17" s="537" t="str">
        <f>IF(AND($G17=Lists!$D$41,$D17=AX$7),$F17,"")</f>
        <v/>
      </c>
      <c r="AY17" s="537">
        <f>IF(AND($G17=Lists!$D$41,$D17=AY$7),$F17,"")</f>
        <v>0</v>
      </c>
      <c r="AZ17" s="537" t="str">
        <f>IF(AND($G17=Lists!$D$41,$D17=AZ$7),$F17,"")</f>
        <v/>
      </c>
      <c r="BA17" s="537" t="str">
        <f>IF(AND($G17=Lists!$D$41,$D17=BA$7),$F17,"")</f>
        <v/>
      </c>
      <c r="BB17" s="537" t="str">
        <f>IF(AND($G17=Lists!$D$41,$D17=BB$7),$F17,"")</f>
        <v/>
      </c>
      <c r="BC17" s="537" t="str">
        <f>IF(AND($G17=Lists!$D$41,$D17=BC$7),$F17,"")</f>
        <v/>
      </c>
      <c r="BD17" s="537" t="str">
        <f>IF(AND($G17=Lists!$D$41,$D17=BD$7),$F17,"")</f>
        <v/>
      </c>
      <c r="BE17" s="537" t="str">
        <f>IF(AND($G17=Lists!$D$41,$D17=BE$7),$F17,"")</f>
        <v/>
      </c>
      <c r="BF17" s="537" t="str">
        <f>IF(AND($G17=Lists!$D$41,$D17=BF$7),$F17,"")</f>
        <v/>
      </c>
      <c r="BG17" s="537" t="str">
        <f>IF(AND($G17=Lists!$D$41,$D17=BG$7),$F17,"")</f>
        <v/>
      </c>
      <c r="BH17" s="537" t="str">
        <f>IF(AND($G17=Lists!$D$41,$D17=BH$7),$F17,"")</f>
        <v/>
      </c>
      <c r="BI17" s="537" t="str">
        <f>IF(AND($G17=Lists!$D$41,$D17=BI$7),$F17,"")</f>
        <v/>
      </c>
      <c r="BJ17" s="537" t="str">
        <f>IF(AND($G17=Lists!$D$41,$D17=BJ$7),$F17,"")</f>
        <v/>
      </c>
      <c r="BK17" s="537" t="str">
        <f>IF(AND($G17=Lists!$D$41,$D17=BK$7),$F17,"")</f>
        <v/>
      </c>
      <c r="BL17" s="537" t="str">
        <f>IF(AND($G17=Lists!$D$41,$D17=BL$7),$F17,"")</f>
        <v/>
      </c>
      <c r="BM17" s="537" t="str">
        <f>IF(AND($G17=Lists!$D$41,$D17=BM$7),$F17,"")</f>
        <v/>
      </c>
      <c r="BN17" s="537" t="str">
        <f>IF(AND($G17=Lists!$D$41,$D17=BN$7),$F17,"")</f>
        <v/>
      </c>
      <c r="BO17" s="537" t="str">
        <f>IF(AND($G17=Lists!$D$41,$D17=BO$7),$F17,"")</f>
        <v/>
      </c>
      <c r="BP17" s="537" t="str">
        <f>IF(AND($G17=Lists!$D$41,$D17=BP$7),$F17,"")</f>
        <v/>
      </c>
      <c r="BQ17" s="537" t="str">
        <f>IF(AND($G17=Lists!$D$41,$D17=BQ$7),$F17,"")</f>
        <v/>
      </c>
      <c r="BR17" s="537" t="str">
        <f>IF(AND($G17=Lists!$D$41,$D17=BR$7),$F17,"")</f>
        <v/>
      </c>
      <c r="BS17" s="537" t="str">
        <f>IF(AND($G17=Lists!$D$41,$D17=BS$7),$F17,"")</f>
        <v/>
      </c>
      <c r="BT17" s="537" t="str">
        <f>IF(AND($G17=Lists!$D$41,$D17=BT$7),$F17,"")</f>
        <v/>
      </c>
      <c r="BU17" s="537" t="str">
        <f>IF(AND($G17=Lists!$D$41,$D17=BU$7),$F17,"")</f>
        <v/>
      </c>
      <c r="BV17" s="537" t="str">
        <f>IF(AND($G17=Lists!$D$41,$D17=BV$7),$F17,"")</f>
        <v/>
      </c>
      <c r="BW17" s="537" t="str">
        <f>IF(AND($G17=Lists!$D$41,$D17=BW$7),$F17,"")</f>
        <v/>
      </c>
      <c r="BY17" s="537" t="str">
        <f>IF(AND($G17=Lists!$D$42,$D17=BY$7),$F17,"")</f>
        <v/>
      </c>
      <c r="BZ17" s="537" t="str">
        <f>IF(AND($G17=Lists!$D$42,$D17=BZ$7),$F17,"")</f>
        <v/>
      </c>
      <c r="CA17" s="537" t="str">
        <f>IF(AND($G17=Lists!$D$42,$D17=CA$7),$F17,"")</f>
        <v/>
      </c>
      <c r="CB17" s="537" t="str">
        <f>IF(AND($G17=Lists!$D$42,$D17=CB$7),$F17,"")</f>
        <v/>
      </c>
      <c r="CC17" s="537" t="str">
        <f>IF(AND($G17=Lists!$D$42,$D17=CC$7),$F17,"")</f>
        <v/>
      </c>
      <c r="CD17" s="537" t="str">
        <f>IF(AND($G17=Lists!$D$42,$D17=CD$7),$F17,"")</f>
        <v/>
      </c>
      <c r="CE17" s="537" t="str">
        <f>IF(AND($G17=Lists!$D$42,$D17=CE$7),$F17,"")</f>
        <v/>
      </c>
      <c r="CF17" s="537" t="str">
        <f>IF(AND($G17=Lists!$D$42,$D17=CF$7),$F17,"")</f>
        <v/>
      </c>
      <c r="CG17" s="537" t="str">
        <f>IF(AND($G17=Lists!$D$42,$D17=CG$7),$F17,"")</f>
        <v/>
      </c>
      <c r="CH17" s="537" t="str">
        <f>IF(AND($G17=Lists!$D$42,$D17=CH$7),$F17,"")</f>
        <v/>
      </c>
      <c r="CI17" s="537" t="str">
        <f>IF(AND($G17=Lists!$D$42,$D17=CI$7),$F17,"")</f>
        <v/>
      </c>
      <c r="CJ17" s="537" t="str">
        <f>IF(AND($G17=Lists!$D$42,$D17=CJ$7),$F17,"")</f>
        <v/>
      </c>
      <c r="CK17" s="537" t="str">
        <f>IF(AND($G17=Lists!$D$42,$D17=CK$7),$F17,"")</f>
        <v/>
      </c>
      <c r="CL17" s="537" t="str">
        <f>IF(AND($G17=Lists!$D$42,$D17=CL$7),$F17,"")</f>
        <v/>
      </c>
      <c r="CM17" s="537" t="str">
        <f>IF(AND($G17=Lists!$D$42,$D17=CM$7),$F17,"")</f>
        <v/>
      </c>
      <c r="CN17" s="537" t="str">
        <f>IF(AND($G17=Lists!$D$42,$D17=CN$7),$F17,"")</f>
        <v/>
      </c>
      <c r="CO17" s="537" t="str">
        <f>IF(AND($G17=Lists!$D$42,$D17=CO$7),$F17,"")</f>
        <v/>
      </c>
      <c r="CP17" s="537" t="str">
        <f>IF(AND($G17=Lists!$D$42,$D17=CP$7),$F17,"")</f>
        <v/>
      </c>
      <c r="CQ17" s="537" t="str">
        <f>IF(AND($G17=Lists!$D$42,$D17=CQ$7),$F17,"")</f>
        <v/>
      </c>
      <c r="CR17" s="537" t="str">
        <f>IF(AND($G17=Lists!$D$42,$D17=CR$7),$F17,"")</f>
        <v/>
      </c>
      <c r="CS17" s="537" t="str">
        <f>IF(AND($G17=Lists!$D$42,$D17=CS$7),$F17,"")</f>
        <v/>
      </c>
      <c r="CT17" s="537" t="str">
        <f>IF(AND($G17=Lists!$D$42,$D17=CT$7),$F17,"")</f>
        <v/>
      </c>
      <c r="CU17" s="537" t="str">
        <f>IF(AND($G17=Lists!$D$42,$D17=CU$7),$F17,"")</f>
        <v/>
      </c>
      <c r="CV17" s="537" t="str">
        <f>IF(AND($G17=Lists!$D$42,$D17=CV$7),$F17,"")</f>
        <v/>
      </c>
      <c r="CW17" s="537" t="str">
        <f>IF(AND($G17=Lists!$D$42,$D17=CW$7),$F17,"")</f>
        <v/>
      </c>
      <c r="CX17" s="537" t="str">
        <f>IF(AND($G17=Lists!$D$42,$D17=CX$7),$F17,"")</f>
        <v/>
      </c>
      <c r="CY17" s="537" t="str">
        <f>IF(AND($G17=Lists!$D$42,$D17=CY$7),$F17,"")</f>
        <v/>
      </c>
      <c r="CZ17" s="537" t="str">
        <f>IF(AND($G17=Lists!$D$42,$D17=CZ$7),$F17,"")</f>
        <v/>
      </c>
      <c r="DA17" s="537" t="str">
        <f>IF(AND($G17=Lists!$D$42,$D17=DA$7),$F17,"")</f>
        <v/>
      </c>
      <c r="DB17" s="537" t="str">
        <f>IF(AND($G17=Lists!$D$42,$D17=DB$7),$F17,"")</f>
        <v/>
      </c>
      <c r="DC17" s="537"/>
      <c r="DD17" s="537"/>
      <c r="DE17" s="537" t="str">
        <f>IF(AND($G17=Lists!$D$42,$D17=DE$7),$F17,"")</f>
        <v/>
      </c>
    </row>
    <row r="18" spans="1:109">
      <c r="A18" s="532"/>
      <c r="B18" s="137"/>
      <c r="C18" s="139"/>
      <c r="D18" s="120" t="s">
        <v>1788</v>
      </c>
      <c r="E18" s="89"/>
      <c r="F18" s="128"/>
      <c r="G18" s="55" t="s">
        <v>1779</v>
      </c>
      <c r="H18" s="536"/>
      <c r="I18" s="537" t="str">
        <f t="shared" si="19"/>
        <v/>
      </c>
      <c r="J18" s="537" t="str">
        <f t="shared" si="19"/>
        <v/>
      </c>
      <c r="K18" s="537" t="str">
        <f t="shared" si="19"/>
        <v/>
      </c>
      <c r="L18" s="537" t="str">
        <f t="shared" si="17"/>
        <v/>
      </c>
      <c r="M18" s="537" t="str">
        <f t="shared" si="17"/>
        <v/>
      </c>
      <c r="N18" s="537" t="str">
        <f t="shared" si="19"/>
        <v/>
      </c>
      <c r="O18" s="537" t="str">
        <f t="shared" si="19"/>
        <v/>
      </c>
      <c r="P18" s="537" t="str">
        <f t="shared" si="19"/>
        <v/>
      </c>
      <c r="Q18" s="537" t="str">
        <f t="shared" si="19"/>
        <v/>
      </c>
      <c r="R18" s="537">
        <f t="shared" si="19"/>
        <v>0</v>
      </c>
      <c r="S18" s="537" t="str">
        <f t="shared" si="19"/>
        <v/>
      </c>
      <c r="T18" s="537" t="str">
        <f t="shared" si="19"/>
        <v/>
      </c>
      <c r="U18" s="537" t="str">
        <f t="shared" si="19"/>
        <v/>
      </c>
      <c r="V18" s="537" t="str">
        <f t="shared" si="19"/>
        <v/>
      </c>
      <c r="W18" s="537" t="str">
        <f t="shared" si="19"/>
        <v/>
      </c>
      <c r="X18" s="537" t="str">
        <f t="shared" si="19"/>
        <v/>
      </c>
      <c r="Y18" s="537" t="str">
        <f t="shared" si="19"/>
        <v/>
      </c>
      <c r="Z18" s="537" t="str">
        <f t="shared" si="19"/>
        <v/>
      </c>
      <c r="AA18" s="537" t="str">
        <f t="shared" si="20"/>
        <v/>
      </c>
      <c r="AB18" s="537" t="str">
        <f t="shared" si="20"/>
        <v/>
      </c>
      <c r="AC18" s="537" t="str">
        <f t="shared" si="20"/>
        <v/>
      </c>
      <c r="AD18" s="537" t="str">
        <f t="shared" si="20"/>
        <v/>
      </c>
      <c r="AE18" s="537" t="str">
        <f t="shared" si="18"/>
        <v/>
      </c>
      <c r="AF18" s="537" t="str">
        <f t="shared" si="20"/>
        <v/>
      </c>
      <c r="AG18" s="537" t="str">
        <f t="shared" si="20"/>
        <v/>
      </c>
      <c r="AH18" s="537" t="str">
        <f t="shared" si="20"/>
        <v/>
      </c>
      <c r="AI18" s="537" t="str">
        <f t="shared" si="20"/>
        <v/>
      </c>
      <c r="AJ18" s="537" t="str">
        <f t="shared" si="20"/>
        <v/>
      </c>
      <c r="AK18" s="537" t="str">
        <f t="shared" si="20"/>
        <v/>
      </c>
      <c r="AL18" s="537" t="str">
        <f t="shared" si="20"/>
        <v/>
      </c>
      <c r="AM18" s="537" t="str">
        <f t="shared" si="20"/>
        <v/>
      </c>
      <c r="AN18" s="537" t="str">
        <f t="shared" si="20"/>
        <v/>
      </c>
      <c r="AO18" s="537" t="str">
        <f t="shared" si="20"/>
        <v/>
      </c>
      <c r="AQ18" s="537" t="str">
        <f>IF(AND($G18=Lists!$D$41,$D18=AQ$7),$F18,"")</f>
        <v/>
      </c>
      <c r="AR18" s="537" t="str">
        <f>IF(AND($G18=Lists!$D$41,$D18=AR$7),$F18,"")</f>
        <v/>
      </c>
      <c r="AS18" s="537" t="str">
        <f>IF(AND($G18=Lists!$D$41,$D18=AS$7),$F18,"")</f>
        <v/>
      </c>
      <c r="AT18" s="537" t="str">
        <f>IF(AND($G18=Lists!$D$41,$D18=AT$7),$F18,"")</f>
        <v/>
      </c>
      <c r="AU18" s="537" t="str">
        <f>IF(AND($G18=Lists!$D$41,$D18=AU$7),$F18,"")</f>
        <v/>
      </c>
      <c r="AV18" s="537" t="str">
        <f>IF(AND($G18=Lists!$D$41,$D18=AV$7),$F18,"")</f>
        <v/>
      </c>
      <c r="AW18" s="537" t="str">
        <f>IF(AND($G18=Lists!$D$41,$D18=AW$7),$F18,"")</f>
        <v/>
      </c>
      <c r="AX18" s="537" t="str">
        <f>IF(AND($G18=Lists!$D$41,$D18=AX$7),$F18,"")</f>
        <v/>
      </c>
      <c r="AY18" s="537" t="str">
        <f>IF(AND($G18=Lists!$D$41,$D18=AY$7),$F18,"")</f>
        <v/>
      </c>
      <c r="AZ18" s="537">
        <f>IF(AND($G18=Lists!$D$41,$D18=AZ$7),$F18,"")</f>
        <v>0</v>
      </c>
      <c r="BA18" s="537" t="str">
        <f>IF(AND($G18=Lists!$D$41,$D18=BA$7),$F18,"")</f>
        <v/>
      </c>
      <c r="BB18" s="537" t="str">
        <f>IF(AND($G18=Lists!$D$41,$D18=BB$7),$F18,"")</f>
        <v/>
      </c>
      <c r="BC18" s="537" t="str">
        <f>IF(AND($G18=Lists!$D$41,$D18=BC$7),$F18,"")</f>
        <v/>
      </c>
      <c r="BD18" s="537" t="str">
        <f>IF(AND($G18=Lists!$D$41,$D18=BD$7),$F18,"")</f>
        <v/>
      </c>
      <c r="BE18" s="537" t="str">
        <f>IF(AND($G18=Lists!$D$41,$D18=BE$7),$F18,"")</f>
        <v/>
      </c>
      <c r="BF18" s="537" t="str">
        <f>IF(AND($G18=Lists!$D$41,$D18=BF$7),$F18,"")</f>
        <v/>
      </c>
      <c r="BG18" s="537" t="str">
        <f>IF(AND($G18=Lists!$D$41,$D18=BG$7),$F18,"")</f>
        <v/>
      </c>
      <c r="BH18" s="537" t="str">
        <f>IF(AND($G18=Lists!$D$41,$D18=BH$7),$F18,"")</f>
        <v/>
      </c>
      <c r="BI18" s="537" t="str">
        <f>IF(AND($G18=Lists!$D$41,$D18=BI$7),$F18,"")</f>
        <v/>
      </c>
      <c r="BJ18" s="537" t="str">
        <f>IF(AND($G18=Lists!$D$41,$D18=BJ$7),$F18,"")</f>
        <v/>
      </c>
      <c r="BK18" s="537" t="str">
        <f>IF(AND($G18=Lists!$D$41,$D18=BK$7),$F18,"")</f>
        <v/>
      </c>
      <c r="BL18" s="537" t="str">
        <f>IF(AND($G18=Lists!$D$41,$D18=BL$7),$F18,"")</f>
        <v/>
      </c>
      <c r="BM18" s="537" t="str">
        <f>IF(AND($G18=Lists!$D$41,$D18=BM$7),$F18,"")</f>
        <v/>
      </c>
      <c r="BN18" s="537" t="str">
        <f>IF(AND($G18=Lists!$D$41,$D18=BN$7),$F18,"")</f>
        <v/>
      </c>
      <c r="BO18" s="537" t="str">
        <f>IF(AND($G18=Lists!$D$41,$D18=BO$7),$F18,"")</f>
        <v/>
      </c>
      <c r="BP18" s="537" t="str">
        <f>IF(AND($G18=Lists!$D$41,$D18=BP$7),$F18,"")</f>
        <v/>
      </c>
      <c r="BQ18" s="537" t="str">
        <f>IF(AND($G18=Lists!$D$41,$D18=BQ$7),$F18,"")</f>
        <v/>
      </c>
      <c r="BR18" s="537" t="str">
        <f>IF(AND($G18=Lists!$D$41,$D18=BR$7),$F18,"")</f>
        <v/>
      </c>
      <c r="BS18" s="537" t="str">
        <f>IF(AND($G18=Lists!$D$41,$D18=BS$7),$F18,"")</f>
        <v/>
      </c>
      <c r="BT18" s="537" t="str">
        <f>IF(AND($G18=Lists!$D$41,$D18=BT$7),$F18,"")</f>
        <v/>
      </c>
      <c r="BU18" s="537" t="str">
        <f>IF(AND($G18=Lists!$D$41,$D18=BU$7),$F18,"")</f>
        <v/>
      </c>
      <c r="BV18" s="537" t="str">
        <f>IF(AND($G18=Lists!$D$41,$D18=BV$7),$F18,"")</f>
        <v/>
      </c>
      <c r="BW18" s="537" t="str">
        <f>IF(AND($G18=Lists!$D$41,$D18=BW$7),$F18,"")</f>
        <v/>
      </c>
      <c r="BY18" s="537" t="str">
        <f>IF(AND($G18=Lists!$D$42,$D18=BY$7),$F18,"")</f>
        <v/>
      </c>
      <c r="BZ18" s="537" t="str">
        <f>IF(AND($G18=Lists!$D$42,$D18=BZ$7),$F18,"")</f>
        <v/>
      </c>
      <c r="CA18" s="537" t="str">
        <f>IF(AND($G18=Lists!$D$42,$D18=CA$7),$F18,"")</f>
        <v/>
      </c>
      <c r="CB18" s="537" t="str">
        <f>IF(AND($G18=Lists!$D$42,$D18=CB$7),$F18,"")</f>
        <v/>
      </c>
      <c r="CC18" s="537" t="str">
        <f>IF(AND($G18=Lists!$D$42,$D18=CC$7),$F18,"")</f>
        <v/>
      </c>
      <c r="CD18" s="537" t="str">
        <f>IF(AND($G18=Lists!$D$42,$D18=CD$7),$F18,"")</f>
        <v/>
      </c>
      <c r="CE18" s="537" t="str">
        <f>IF(AND($G18=Lists!$D$42,$D18=CE$7),$F18,"")</f>
        <v/>
      </c>
      <c r="CF18" s="537" t="str">
        <f>IF(AND($G18=Lists!$D$42,$D18=CF$7),$F18,"")</f>
        <v/>
      </c>
      <c r="CG18" s="537" t="str">
        <f>IF(AND($G18=Lists!$D$42,$D18=CG$7),$F18,"")</f>
        <v/>
      </c>
      <c r="CH18" s="537" t="str">
        <f>IF(AND($G18=Lists!$D$42,$D18=CH$7),$F18,"")</f>
        <v/>
      </c>
      <c r="CI18" s="537" t="str">
        <f>IF(AND($G18=Lists!$D$42,$D18=CI$7),$F18,"")</f>
        <v/>
      </c>
      <c r="CJ18" s="537" t="str">
        <f>IF(AND($G18=Lists!$D$42,$D18=CJ$7),$F18,"")</f>
        <v/>
      </c>
      <c r="CK18" s="537" t="str">
        <f>IF(AND($G18=Lists!$D$42,$D18=CK$7),$F18,"")</f>
        <v/>
      </c>
      <c r="CL18" s="537" t="str">
        <f>IF(AND($G18=Lists!$D$42,$D18=CL$7),$F18,"")</f>
        <v/>
      </c>
      <c r="CM18" s="537" t="str">
        <f>IF(AND($G18=Lists!$D$42,$D18=CM$7),$F18,"")</f>
        <v/>
      </c>
      <c r="CN18" s="537" t="str">
        <f>IF(AND($G18=Lists!$D$42,$D18=CN$7),$F18,"")</f>
        <v/>
      </c>
      <c r="CO18" s="537" t="str">
        <f>IF(AND($G18=Lists!$D$42,$D18=CO$7),$F18,"")</f>
        <v/>
      </c>
      <c r="CP18" s="537" t="str">
        <f>IF(AND($G18=Lists!$D$42,$D18=CP$7),$F18,"")</f>
        <v/>
      </c>
      <c r="CQ18" s="537" t="str">
        <f>IF(AND($G18=Lists!$D$42,$D18=CQ$7),$F18,"")</f>
        <v/>
      </c>
      <c r="CR18" s="537" t="str">
        <f>IF(AND($G18=Lists!$D$42,$D18=CR$7),$F18,"")</f>
        <v/>
      </c>
      <c r="CS18" s="537" t="str">
        <f>IF(AND($G18=Lists!$D$42,$D18=CS$7),$F18,"")</f>
        <v/>
      </c>
      <c r="CT18" s="537" t="str">
        <f>IF(AND($G18=Lists!$D$42,$D18=CT$7),$F18,"")</f>
        <v/>
      </c>
      <c r="CU18" s="537" t="str">
        <f>IF(AND($G18=Lists!$D$42,$D18=CU$7),$F18,"")</f>
        <v/>
      </c>
      <c r="CV18" s="537" t="str">
        <f>IF(AND($G18=Lists!$D$42,$D18=CV$7),$F18,"")</f>
        <v/>
      </c>
      <c r="CW18" s="537" t="str">
        <f>IF(AND($G18=Lists!$D$42,$D18=CW$7),$F18,"")</f>
        <v/>
      </c>
      <c r="CX18" s="537" t="str">
        <f>IF(AND($G18=Lists!$D$42,$D18=CX$7),$F18,"")</f>
        <v/>
      </c>
      <c r="CY18" s="537" t="str">
        <f>IF(AND($G18=Lists!$D$42,$D18=CY$7),$F18,"")</f>
        <v/>
      </c>
      <c r="CZ18" s="537" t="str">
        <f>IF(AND($G18=Lists!$D$42,$D18=CZ$7),$F18,"")</f>
        <v/>
      </c>
      <c r="DA18" s="537" t="str">
        <f>IF(AND($G18=Lists!$D$42,$D18=DA$7),$F18,"")</f>
        <v/>
      </c>
      <c r="DB18" s="537" t="str">
        <f>IF(AND($G18=Lists!$D$42,$D18=DB$7),$F18,"")</f>
        <v/>
      </c>
      <c r="DC18" s="537"/>
      <c r="DD18" s="537"/>
      <c r="DE18" s="537" t="str">
        <f>IF(AND($G18=Lists!$D$42,$D18=DE$7),$F18,"")</f>
        <v/>
      </c>
    </row>
    <row r="19" spans="1:109">
      <c r="A19" s="532"/>
      <c r="B19" s="137"/>
      <c r="C19" s="139"/>
      <c r="D19" s="120" t="s">
        <v>1789</v>
      </c>
      <c r="E19" s="89"/>
      <c r="F19" s="128"/>
      <c r="G19" s="55" t="s">
        <v>1779</v>
      </c>
      <c r="H19" s="536"/>
      <c r="I19" s="537" t="str">
        <f t="shared" si="19"/>
        <v/>
      </c>
      <c r="J19" s="537" t="str">
        <f t="shared" si="19"/>
        <v/>
      </c>
      <c r="K19" s="537" t="str">
        <f t="shared" si="19"/>
        <v/>
      </c>
      <c r="L19" s="537" t="str">
        <f t="shared" si="17"/>
        <v/>
      </c>
      <c r="M19" s="537" t="str">
        <f t="shared" si="17"/>
        <v/>
      </c>
      <c r="N19" s="537" t="str">
        <f t="shared" si="19"/>
        <v/>
      </c>
      <c r="O19" s="537" t="str">
        <f t="shared" si="19"/>
        <v/>
      </c>
      <c r="P19" s="537" t="str">
        <f t="shared" si="19"/>
        <v/>
      </c>
      <c r="Q19" s="537" t="str">
        <f t="shared" si="19"/>
        <v/>
      </c>
      <c r="R19" s="537" t="str">
        <f t="shared" si="19"/>
        <v/>
      </c>
      <c r="S19" s="537">
        <f t="shared" si="19"/>
        <v>0</v>
      </c>
      <c r="T19" s="537" t="str">
        <f t="shared" si="19"/>
        <v/>
      </c>
      <c r="U19" s="537" t="str">
        <f t="shared" si="19"/>
        <v/>
      </c>
      <c r="V19" s="537" t="str">
        <f t="shared" si="19"/>
        <v/>
      </c>
      <c r="W19" s="537" t="str">
        <f t="shared" si="19"/>
        <v/>
      </c>
      <c r="X19" s="537" t="str">
        <f t="shared" si="19"/>
        <v/>
      </c>
      <c r="Y19" s="537" t="str">
        <f t="shared" si="19"/>
        <v/>
      </c>
      <c r="Z19" s="537" t="str">
        <f t="shared" si="19"/>
        <v/>
      </c>
      <c r="AA19" s="537" t="str">
        <f t="shared" si="20"/>
        <v/>
      </c>
      <c r="AB19" s="537" t="str">
        <f t="shared" si="20"/>
        <v/>
      </c>
      <c r="AC19" s="537" t="str">
        <f t="shared" si="20"/>
        <v/>
      </c>
      <c r="AD19" s="537" t="str">
        <f t="shared" si="20"/>
        <v/>
      </c>
      <c r="AE19" s="537" t="str">
        <f t="shared" si="18"/>
        <v/>
      </c>
      <c r="AF19" s="537" t="str">
        <f t="shared" si="20"/>
        <v/>
      </c>
      <c r="AG19" s="537" t="str">
        <f t="shared" si="20"/>
        <v/>
      </c>
      <c r="AH19" s="537" t="str">
        <f t="shared" si="20"/>
        <v/>
      </c>
      <c r="AI19" s="537" t="str">
        <f t="shared" si="20"/>
        <v/>
      </c>
      <c r="AJ19" s="537" t="str">
        <f t="shared" si="20"/>
        <v/>
      </c>
      <c r="AK19" s="537" t="str">
        <f t="shared" si="20"/>
        <v/>
      </c>
      <c r="AL19" s="537" t="str">
        <f t="shared" si="20"/>
        <v/>
      </c>
      <c r="AM19" s="537" t="str">
        <f t="shared" si="20"/>
        <v/>
      </c>
      <c r="AN19" s="537" t="str">
        <f t="shared" si="20"/>
        <v/>
      </c>
      <c r="AO19" s="537" t="str">
        <f t="shared" si="20"/>
        <v/>
      </c>
      <c r="AQ19" s="537" t="str">
        <f>IF(AND($G19=Lists!$D$41,$D19=AQ$7),$F19,"")</f>
        <v/>
      </c>
      <c r="AR19" s="537" t="str">
        <f>IF(AND($G19=Lists!$D$41,$D19=AR$7),$F19,"")</f>
        <v/>
      </c>
      <c r="AS19" s="537" t="str">
        <f>IF(AND($G19=Lists!$D$41,$D19=AS$7),$F19,"")</f>
        <v/>
      </c>
      <c r="AT19" s="537" t="str">
        <f>IF(AND($G19=Lists!$D$41,$D19=AT$7),$F19,"")</f>
        <v/>
      </c>
      <c r="AU19" s="537" t="str">
        <f>IF(AND($G19=Lists!$D$41,$D19=AU$7),$F19,"")</f>
        <v/>
      </c>
      <c r="AV19" s="537" t="str">
        <f>IF(AND($G19=Lists!$D$41,$D19=AV$7),$F19,"")</f>
        <v/>
      </c>
      <c r="AW19" s="537" t="str">
        <f>IF(AND($G19=Lists!$D$41,$D19=AW$7),$F19,"")</f>
        <v/>
      </c>
      <c r="AX19" s="537" t="str">
        <f>IF(AND($G19=Lists!$D$41,$D19=AX$7),$F19,"")</f>
        <v/>
      </c>
      <c r="AY19" s="537" t="str">
        <f>IF(AND($G19=Lists!$D$41,$D19=AY$7),$F19,"")</f>
        <v/>
      </c>
      <c r="AZ19" s="537" t="str">
        <f>IF(AND($G19=Lists!$D$41,$D19=AZ$7),$F19,"")</f>
        <v/>
      </c>
      <c r="BA19" s="537">
        <f>IF(AND($G19=Lists!$D$41,$D19=BA$7),$F19,"")</f>
        <v>0</v>
      </c>
      <c r="BB19" s="537" t="str">
        <f>IF(AND($G19=Lists!$D$41,$D19=BB$7),$F19,"")</f>
        <v/>
      </c>
      <c r="BC19" s="537" t="str">
        <f>IF(AND($G19=Lists!$D$41,$D19=BC$7),$F19,"")</f>
        <v/>
      </c>
      <c r="BD19" s="537" t="str">
        <f>IF(AND($G19=Lists!$D$41,$D19=BD$7),$F19,"")</f>
        <v/>
      </c>
      <c r="BE19" s="537" t="str">
        <f>IF(AND($G19=Lists!$D$41,$D19=BE$7),$F19,"")</f>
        <v/>
      </c>
      <c r="BF19" s="537" t="str">
        <f>IF(AND($G19=Lists!$D$41,$D19=BF$7),$F19,"")</f>
        <v/>
      </c>
      <c r="BG19" s="537" t="str">
        <f>IF(AND($G19=Lists!$D$41,$D19=BG$7),$F19,"")</f>
        <v/>
      </c>
      <c r="BH19" s="537" t="str">
        <f>IF(AND($G19=Lists!$D$41,$D19=BH$7),$F19,"")</f>
        <v/>
      </c>
      <c r="BI19" s="537" t="str">
        <f>IF(AND($G19=Lists!$D$41,$D19=BI$7),$F19,"")</f>
        <v/>
      </c>
      <c r="BJ19" s="537" t="str">
        <f>IF(AND($G19=Lists!$D$41,$D19=BJ$7),$F19,"")</f>
        <v/>
      </c>
      <c r="BK19" s="537" t="str">
        <f>IF(AND($G19=Lists!$D$41,$D19=BK$7),$F19,"")</f>
        <v/>
      </c>
      <c r="BL19" s="537" t="str">
        <f>IF(AND($G19=Lists!$D$41,$D19=BL$7),$F19,"")</f>
        <v/>
      </c>
      <c r="BM19" s="537" t="str">
        <f>IF(AND($G19=Lists!$D$41,$D19=BM$7),$F19,"")</f>
        <v/>
      </c>
      <c r="BN19" s="537" t="str">
        <f>IF(AND($G19=Lists!$D$41,$D19=BN$7),$F19,"")</f>
        <v/>
      </c>
      <c r="BO19" s="537" t="str">
        <f>IF(AND($G19=Lists!$D$41,$D19=BO$7),$F19,"")</f>
        <v/>
      </c>
      <c r="BP19" s="537" t="str">
        <f>IF(AND($G19=Lists!$D$41,$D19=BP$7),$F19,"")</f>
        <v/>
      </c>
      <c r="BQ19" s="537" t="str">
        <f>IF(AND($G19=Lists!$D$41,$D19=BQ$7),$F19,"")</f>
        <v/>
      </c>
      <c r="BR19" s="537" t="str">
        <f>IF(AND($G19=Lists!$D$41,$D19=BR$7),$F19,"")</f>
        <v/>
      </c>
      <c r="BS19" s="537" t="str">
        <f>IF(AND($G19=Lists!$D$41,$D19=BS$7),$F19,"")</f>
        <v/>
      </c>
      <c r="BT19" s="537" t="str">
        <f>IF(AND($G19=Lists!$D$41,$D19=BT$7),$F19,"")</f>
        <v/>
      </c>
      <c r="BU19" s="537" t="str">
        <f>IF(AND($G19=Lists!$D$41,$D19=BU$7),$F19,"")</f>
        <v/>
      </c>
      <c r="BV19" s="537" t="str">
        <f>IF(AND($G19=Lists!$D$41,$D19=BV$7),$F19,"")</f>
        <v/>
      </c>
      <c r="BW19" s="537" t="str">
        <f>IF(AND($G19=Lists!$D$41,$D19=BW$7),$F19,"")</f>
        <v/>
      </c>
      <c r="BY19" s="537" t="str">
        <f>IF(AND($G19=Lists!$D$42,$D19=BY$7),$F19,"")</f>
        <v/>
      </c>
      <c r="BZ19" s="537" t="str">
        <f>IF(AND($G19=Lists!$D$42,$D19=BZ$7),$F19,"")</f>
        <v/>
      </c>
      <c r="CA19" s="537" t="str">
        <f>IF(AND($G19=Lists!$D$42,$D19=CA$7),$F19,"")</f>
        <v/>
      </c>
      <c r="CB19" s="537" t="str">
        <f>IF(AND($G19=Lists!$D$42,$D19=CB$7),$F19,"")</f>
        <v/>
      </c>
      <c r="CC19" s="537" t="str">
        <f>IF(AND($G19=Lists!$D$42,$D19=CC$7),$F19,"")</f>
        <v/>
      </c>
      <c r="CD19" s="537" t="str">
        <f>IF(AND($G19=Lists!$D$42,$D19=CD$7),$F19,"")</f>
        <v/>
      </c>
      <c r="CE19" s="537" t="str">
        <f>IF(AND($G19=Lists!$D$42,$D19=CE$7),$F19,"")</f>
        <v/>
      </c>
      <c r="CF19" s="537" t="str">
        <f>IF(AND($G19=Lists!$D$42,$D19=CF$7),$F19,"")</f>
        <v/>
      </c>
      <c r="CG19" s="537" t="str">
        <f>IF(AND($G19=Lists!$D$42,$D19=CG$7),$F19,"")</f>
        <v/>
      </c>
      <c r="CH19" s="537" t="str">
        <f>IF(AND($G19=Lists!$D$42,$D19=CH$7),$F19,"")</f>
        <v/>
      </c>
      <c r="CI19" s="537" t="str">
        <f>IF(AND($G19=Lists!$D$42,$D19=CI$7),$F19,"")</f>
        <v/>
      </c>
      <c r="CJ19" s="537" t="str">
        <f>IF(AND($G19=Lists!$D$42,$D19=CJ$7),$F19,"")</f>
        <v/>
      </c>
      <c r="CK19" s="537" t="str">
        <f>IF(AND($G19=Lists!$D$42,$D19=CK$7),$F19,"")</f>
        <v/>
      </c>
      <c r="CL19" s="537" t="str">
        <f>IF(AND($G19=Lists!$D$42,$D19=CL$7),$F19,"")</f>
        <v/>
      </c>
      <c r="CM19" s="537" t="str">
        <f>IF(AND($G19=Lists!$D$42,$D19=CM$7),$F19,"")</f>
        <v/>
      </c>
      <c r="CN19" s="537" t="str">
        <f>IF(AND($G19=Lists!$D$42,$D19=CN$7),$F19,"")</f>
        <v/>
      </c>
      <c r="CO19" s="537" t="str">
        <f>IF(AND($G19=Lists!$D$42,$D19=CO$7),$F19,"")</f>
        <v/>
      </c>
      <c r="CP19" s="537" t="str">
        <f>IF(AND($G19=Lists!$D$42,$D19=CP$7),$F19,"")</f>
        <v/>
      </c>
      <c r="CQ19" s="537" t="str">
        <f>IF(AND($G19=Lists!$D$42,$D19=CQ$7),$F19,"")</f>
        <v/>
      </c>
      <c r="CR19" s="537" t="str">
        <f>IF(AND($G19=Lists!$D$42,$D19=CR$7),$F19,"")</f>
        <v/>
      </c>
      <c r="CS19" s="537" t="str">
        <f>IF(AND($G19=Lists!$D$42,$D19=CS$7),$F19,"")</f>
        <v/>
      </c>
      <c r="CT19" s="537" t="str">
        <f>IF(AND($G19=Lists!$D$42,$D19=CT$7),$F19,"")</f>
        <v/>
      </c>
      <c r="CU19" s="537" t="str">
        <f>IF(AND($G19=Lists!$D$42,$D19=CU$7),$F19,"")</f>
        <v/>
      </c>
      <c r="CV19" s="537" t="str">
        <f>IF(AND($G19=Lists!$D$42,$D19=CV$7),$F19,"")</f>
        <v/>
      </c>
      <c r="CW19" s="537" t="str">
        <f>IF(AND($G19=Lists!$D$42,$D19=CW$7),$F19,"")</f>
        <v/>
      </c>
      <c r="CX19" s="537" t="str">
        <f>IF(AND($G19=Lists!$D$42,$D19=CX$7),$F19,"")</f>
        <v/>
      </c>
      <c r="CY19" s="537" t="str">
        <f>IF(AND($G19=Lists!$D$42,$D19=CY$7),$F19,"")</f>
        <v/>
      </c>
      <c r="CZ19" s="537" t="str">
        <f>IF(AND($G19=Lists!$D$42,$D19=CZ$7),$F19,"")</f>
        <v/>
      </c>
      <c r="DA19" s="537" t="str">
        <f>IF(AND($G19=Lists!$D$42,$D19=DA$7),$F19,"")</f>
        <v/>
      </c>
      <c r="DB19" s="537" t="str">
        <f>IF(AND($G19=Lists!$D$42,$D19=DB$7),$F19,"")</f>
        <v/>
      </c>
      <c r="DC19" s="537"/>
      <c r="DD19" s="537"/>
      <c r="DE19" s="537" t="str">
        <f>IF(AND($G19=Lists!$D$42,$D19=DE$7),$F19,"")</f>
        <v/>
      </c>
    </row>
    <row r="20" spans="1:109">
      <c r="A20" s="532"/>
      <c r="B20" s="137"/>
      <c r="C20" s="139"/>
      <c r="D20" s="120" t="s">
        <v>1790</v>
      </c>
      <c r="E20" s="89"/>
      <c r="F20" s="128"/>
      <c r="G20" s="55" t="s">
        <v>1779</v>
      </c>
      <c r="H20" s="536"/>
      <c r="I20" s="537" t="str">
        <f t="shared" si="19"/>
        <v/>
      </c>
      <c r="J20" s="537" t="str">
        <f t="shared" si="19"/>
        <v/>
      </c>
      <c r="K20" s="537" t="str">
        <f t="shared" si="19"/>
        <v/>
      </c>
      <c r="L20" s="537" t="str">
        <f t="shared" si="17"/>
        <v/>
      </c>
      <c r="M20" s="537" t="str">
        <f t="shared" si="17"/>
        <v/>
      </c>
      <c r="N20" s="537" t="str">
        <f t="shared" si="19"/>
        <v/>
      </c>
      <c r="O20" s="537" t="str">
        <f t="shared" si="19"/>
        <v/>
      </c>
      <c r="P20" s="537" t="str">
        <f t="shared" si="19"/>
        <v/>
      </c>
      <c r="Q20" s="537" t="str">
        <f t="shared" si="19"/>
        <v/>
      </c>
      <c r="R20" s="537" t="str">
        <f t="shared" si="19"/>
        <v/>
      </c>
      <c r="S20" s="537" t="str">
        <f t="shared" si="19"/>
        <v/>
      </c>
      <c r="T20" s="537">
        <f t="shared" si="19"/>
        <v>0</v>
      </c>
      <c r="U20" s="537" t="str">
        <f t="shared" si="19"/>
        <v/>
      </c>
      <c r="V20" s="537" t="str">
        <f t="shared" si="19"/>
        <v/>
      </c>
      <c r="W20" s="537" t="str">
        <f t="shared" si="19"/>
        <v/>
      </c>
      <c r="X20" s="537" t="str">
        <f t="shared" si="19"/>
        <v/>
      </c>
      <c r="Y20" s="537" t="str">
        <f t="shared" si="19"/>
        <v/>
      </c>
      <c r="Z20" s="537" t="str">
        <f t="shared" si="19"/>
        <v/>
      </c>
      <c r="AA20" s="537" t="str">
        <f t="shared" si="20"/>
        <v/>
      </c>
      <c r="AB20" s="537" t="str">
        <f t="shared" si="20"/>
        <v/>
      </c>
      <c r="AC20" s="537" t="str">
        <f t="shared" si="20"/>
        <v/>
      </c>
      <c r="AD20" s="537" t="str">
        <f t="shared" si="20"/>
        <v/>
      </c>
      <c r="AE20" s="537" t="str">
        <f t="shared" si="18"/>
        <v/>
      </c>
      <c r="AF20" s="537" t="str">
        <f t="shared" si="20"/>
        <v/>
      </c>
      <c r="AG20" s="537" t="str">
        <f t="shared" si="20"/>
        <v/>
      </c>
      <c r="AH20" s="537" t="str">
        <f t="shared" si="20"/>
        <v/>
      </c>
      <c r="AI20" s="537" t="str">
        <f t="shared" si="20"/>
        <v/>
      </c>
      <c r="AJ20" s="537" t="str">
        <f t="shared" si="20"/>
        <v/>
      </c>
      <c r="AK20" s="537" t="str">
        <f t="shared" si="20"/>
        <v/>
      </c>
      <c r="AL20" s="537" t="str">
        <f t="shared" si="20"/>
        <v/>
      </c>
      <c r="AM20" s="537" t="str">
        <f t="shared" si="20"/>
        <v/>
      </c>
      <c r="AN20" s="537" t="str">
        <f t="shared" si="20"/>
        <v/>
      </c>
      <c r="AO20" s="537" t="str">
        <f t="shared" si="20"/>
        <v/>
      </c>
      <c r="AQ20" s="537" t="str">
        <f>IF(AND($G20=Lists!$D$41,$D20=AQ$7),$F20,"")</f>
        <v/>
      </c>
      <c r="AR20" s="537" t="str">
        <f>IF(AND($G20=Lists!$D$41,$D20=AR$7),$F20,"")</f>
        <v/>
      </c>
      <c r="AS20" s="537" t="str">
        <f>IF(AND($G20=Lists!$D$41,$D20=AS$7),$F20,"")</f>
        <v/>
      </c>
      <c r="AT20" s="537" t="str">
        <f>IF(AND($G20=Lists!$D$41,$D20=AT$7),$F20,"")</f>
        <v/>
      </c>
      <c r="AU20" s="537" t="str">
        <f>IF(AND($G20=Lists!$D$41,$D20=AU$7),$F20,"")</f>
        <v/>
      </c>
      <c r="AV20" s="537" t="str">
        <f>IF(AND($G20=Lists!$D$41,$D20=AV$7),$F20,"")</f>
        <v/>
      </c>
      <c r="AW20" s="537" t="str">
        <f>IF(AND($G20=Lists!$D$41,$D20=AW$7),$F20,"")</f>
        <v/>
      </c>
      <c r="AX20" s="537" t="str">
        <f>IF(AND($G20=Lists!$D$41,$D20=AX$7),$F20,"")</f>
        <v/>
      </c>
      <c r="AY20" s="537" t="str">
        <f>IF(AND($G20=Lists!$D$41,$D20=AY$7),$F20,"")</f>
        <v/>
      </c>
      <c r="AZ20" s="537" t="str">
        <f>IF(AND($G20=Lists!$D$41,$D20=AZ$7),$F20,"")</f>
        <v/>
      </c>
      <c r="BA20" s="537" t="str">
        <f>IF(AND($G20=Lists!$D$41,$D20=BA$7),$F20,"")</f>
        <v/>
      </c>
      <c r="BB20" s="537">
        <f>IF(AND($G20=Lists!$D$41,$D20=BB$7),$F20,"")</f>
        <v>0</v>
      </c>
      <c r="BC20" s="537" t="str">
        <f>IF(AND($G20=Lists!$D$41,$D20=BC$7),$F20,"")</f>
        <v/>
      </c>
      <c r="BD20" s="537" t="str">
        <f>IF(AND($G20=Lists!$D$41,$D20=BD$7),$F20,"")</f>
        <v/>
      </c>
      <c r="BE20" s="537" t="str">
        <f>IF(AND($G20=Lists!$D$41,$D20=BE$7),$F20,"")</f>
        <v/>
      </c>
      <c r="BF20" s="537" t="str">
        <f>IF(AND($G20=Lists!$D$41,$D20=BF$7),$F20,"")</f>
        <v/>
      </c>
      <c r="BG20" s="537" t="str">
        <f>IF(AND($G20=Lists!$D$41,$D20=BG$7),$F20,"")</f>
        <v/>
      </c>
      <c r="BH20" s="537" t="str">
        <f>IF(AND($G20=Lists!$D$41,$D20=BH$7),$F20,"")</f>
        <v/>
      </c>
      <c r="BI20" s="537" t="str">
        <f>IF(AND($G20=Lists!$D$41,$D20=BI$7),$F20,"")</f>
        <v/>
      </c>
      <c r="BJ20" s="537" t="str">
        <f>IF(AND($G20=Lists!$D$41,$D20=BJ$7),$F20,"")</f>
        <v/>
      </c>
      <c r="BK20" s="537" t="str">
        <f>IF(AND($G20=Lists!$D$41,$D20=BK$7),$F20,"")</f>
        <v/>
      </c>
      <c r="BL20" s="537" t="str">
        <f>IF(AND($G20=Lists!$D$41,$D20=BL$7),$F20,"")</f>
        <v/>
      </c>
      <c r="BM20" s="537" t="str">
        <f>IF(AND($G20=Lists!$D$41,$D20=BM$7),$F20,"")</f>
        <v/>
      </c>
      <c r="BN20" s="537" t="str">
        <f>IF(AND($G20=Lists!$D$41,$D20=BN$7),$F20,"")</f>
        <v/>
      </c>
      <c r="BO20" s="537" t="str">
        <f>IF(AND($G20=Lists!$D$41,$D20=BO$7),$F20,"")</f>
        <v/>
      </c>
      <c r="BP20" s="537" t="str">
        <f>IF(AND($G20=Lists!$D$41,$D20=BP$7),$F20,"")</f>
        <v/>
      </c>
      <c r="BQ20" s="537" t="str">
        <f>IF(AND($G20=Lists!$D$41,$D20=BQ$7),$F20,"")</f>
        <v/>
      </c>
      <c r="BR20" s="537" t="str">
        <f>IF(AND($G20=Lists!$D$41,$D20=BR$7),$F20,"")</f>
        <v/>
      </c>
      <c r="BS20" s="537" t="str">
        <f>IF(AND($G20=Lists!$D$41,$D20=BS$7),$F20,"")</f>
        <v/>
      </c>
      <c r="BT20" s="537" t="str">
        <f>IF(AND($G20=Lists!$D$41,$D20=BT$7),$F20,"")</f>
        <v/>
      </c>
      <c r="BU20" s="537" t="str">
        <f>IF(AND($G20=Lists!$D$41,$D20=BU$7),$F20,"")</f>
        <v/>
      </c>
      <c r="BV20" s="537" t="str">
        <f>IF(AND($G20=Lists!$D$41,$D20=BV$7),$F20,"")</f>
        <v/>
      </c>
      <c r="BW20" s="537" t="str">
        <f>IF(AND($G20=Lists!$D$41,$D20=BW$7),$F20,"")</f>
        <v/>
      </c>
      <c r="BY20" s="537" t="str">
        <f>IF(AND($G20=Lists!$D$42,$D20=BY$7),$F20,"")</f>
        <v/>
      </c>
      <c r="BZ20" s="537" t="str">
        <f>IF(AND($G20=Lists!$D$42,$D20=BZ$7),$F20,"")</f>
        <v/>
      </c>
      <c r="CA20" s="537" t="str">
        <f>IF(AND($G20=Lists!$D$42,$D20=CA$7),$F20,"")</f>
        <v/>
      </c>
      <c r="CB20" s="537" t="str">
        <f>IF(AND($G20=Lists!$D$42,$D20=CB$7),$F20,"")</f>
        <v/>
      </c>
      <c r="CC20" s="537" t="str">
        <f>IF(AND($G20=Lists!$D$42,$D20=CC$7),$F20,"")</f>
        <v/>
      </c>
      <c r="CD20" s="537" t="str">
        <f>IF(AND($G20=Lists!$D$42,$D20=CD$7),$F20,"")</f>
        <v/>
      </c>
      <c r="CE20" s="537" t="str">
        <f>IF(AND($G20=Lists!$D$42,$D20=CE$7),$F20,"")</f>
        <v/>
      </c>
      <c r="CF20" s="537" t="str">
        <f>IF(AND($G20=Lists!$D$42,$D20=CF$7),$F20,"")</f>
        <v/>
      </c>
      <c r="CG20" s="537" t="str">
        <f>IF(AND($G20=Lists!$D$42,$D20=CG$7),$F20,"")</f>
        <v/>
      </c>
      <c r="CH20" s="537" t="str">
        <f>IF(AND($G20=Lists!$D$42,$D20=CH$7),$F20,"")</f>
        <v/>
      </c>
      <c r="CI20" s="537" t="str">
        <f>IF(AND($G20=Lists!$D$42,$D20=CI$7),$F20,"")</f>
        <v/>
      </c>
      <c r="CJ20" s="537" t="str">
        <f>IF(AND($G20=Lists!$D$42,$D20=CJ$7),$F20,"")</f>
        <v/>
      </c>
      <c r="CK20" s="537" t="str">
        <f>IF(AND($G20=Lists!$D$42,$D20=CK$7),$F20,"")</f>
        <v/>
      </c>
      <c r="CL20" s="537" t="str">
        <f>IF(AND($G20=Lists!$D$42,$D20=CL$7),$F20,"")</f>
        <v/>
      </c>
      <c r="CM20" s="537" t="str">
        <f>IF(AND($G20=Lists!$D$42,$D20=CM$7),$F20,"")</f>
        <v/>
      </c>
      <c r="CN20" s="537" t="str">
        <f>IF(AND($G20=Lists!$D$42,$D20=CN$7),$F20,"")</f>
        <v/>
      </c>
      <c r="CO20" s="537" t="str">
        <f>IF(AND($G20=Lists!$D$42,$D20=CO$7),$F20,"")</f>
        <v/>
      </c>
      <c r="CP20" s="537" t="str">
        <f>IF(AND($G20=Lists!$D$42,$D20=CP$7),$F20,"")</f>
        <v/>
      </c>
      <c r="CQ20" s="537" t="str">
        <f>IF(AND($G20=Lists!$D$42,$D20=CQ$7),$F20,"")</f>
        <v/>
      </c>
      <c r="CR20" s="537" t="str">
        <f>IF(AND($G20=Lists!$D$42,$D20=CR$7),$F20,"")</f>
        <v/>
      </c>
      <c r="CS20" s="537" t="str">
        <f>IF(AND($G20=Lists!$D$42,$D20=CS$7),$F20,"")</f>
        <v/>
      </c>
      <c r="CT20" s="537" t="str">
        <f>IF(AND($G20=Lists!$D$42,$D20=CT$7),$F20,"")</f>
        <v/>
      </c>
      <c r="CU20" s="537" t="str">
        <f>IF(AND($G20=Lists!$D$42,$D20=CU$7),$F20,"")</f>
        <v/>
      </c>
      <c r="CV20" s="537" t="str">
        <f>IF(AND($G20=Lists!$D$42,$D20=CV$7),$F20,"")</f>
        <v/>
      </c>
      <c r="CW20" s="537" t="str">
        <f>IF(AND($G20=Lists!$D$42,$D20=CW$7),$F20,"")</f>
        <v/>
      </c>
      <c r="CX20" s="537" t="str">
        <f>IF(AND($G20=Lists!$D$42,$D20=CX$7),$F20,"")</f>
        <v/>
      </c>
      <c r="CY20" s="537" t="str">
        <f>IF(AND($G20=Lists!$D$42,$D20=CY$7),$F20,"")</f>
        <v/>
      </c>
      <c r="CZ20" s="537" t="str">
        <f>IF(AND($G20=Lists!$D$42,$D20=CZ$7),$F20,"")</f>
        <v/>
      </c>
      <c r="DA20" s="537" t="str">
        <f>IF(AND($G20=Lists!$D$42,$D20=DA$7),$F20,"")</f>
        <v/>
      </c>
      <c r="DB20" s="537" t="str">
        <f>IF(AND($G20=Lists!$D$42,$D20=DB$7),$F20,"")</f>
        <v/>
      </c>
      <c r="DC20" s="537"/>
      <c r="DD20" s="537"/>
      <c r="DE20" s="537" t="str">
        <f>IF(AND($G20=Lists!$D$42,$D20=DE$7),$F20,"")</f>
        <v/>
      </c>
    </row>
    <row r="21" spans="1:109">
      <c r="A21" s="532"/>
      <c r="B21" s="137"/>
      <c r="C21" s="139"/>
      <c r="D21" s="120" t="s">
        <v>1791</v>
      </c>
      <c r="E21" s="89"/>
      <c r="F21" s="128"/>
      <c r="G21" s="55" t="s">
        <v>1779</v>
      </c>
      <c r="H21" s="536"/>
      <c r="I21" s="537" t="str">
        <f t="shared" si="19"/>
        <v/>
      </c>
      <c r="J21" s="537" t="str">
        <f t="shared" si="19"/>
        <v/>
      </c>
      <c r="K21" s="537" t="str">
        <f t="shared" si="19"/>
        <v/>
      </c>
      <c r="L21" s="537" t="str">
        <f t="shared" si="17"/>
        <v/>
      </c>
      <c r="M21" s="537" t="str">
        <f t="shared" si="17"/>
        <v/>
      </c>
      <c r="N21" s="537" t="str">
        <f t="shared" si="19"/>
        <v/>
      </c>
      <c r="O21" s="537" t="str">
        <f t="shared" si="19"/>
        <v/>
      </c>
      <c r="P21" s="537" t="str">
        <f t="shared" si="19"/>
        <v/>
      </c>
      <c r="Q21" s="537" t="str">
        <f t="shared" si="19"/>
        <v/>
      </c>
      <c r="R21" s="537" t="str">
        <f t="shared" si="19"/>
        <v/>
      </c>
      <c r="S21" s="537" t="str">
        <f t="shared" si="19"/>
        <v/>
      </c>
      <c r="T21" s="537" t="str">
        <f t="shared" si="19"/>
        <v/>
      </c>
      <c r="U21" s="537">
        <f t="shared" si="19"/>
        <v>0</v>
      </c>
      <c r="V21" s="537" t="str">
        <f t="shared" si="19"/>
        <v/>
      </c>
      <c r="W21" s="537" t="str">
        <f t="shared" si="19"/>
        <v/>
      </c>
      <c r="X21" s="537" t="str">
        <f t="shared" si="19"/>
        <v/>
      </c>
      <c r="Y21" s="537" t="str">
        <f t="shared" si="19"/>
        <v/>
      </c>
      <c r="Z21" s="537" t="str">
        <f t="shared" si="19"/>
        <v/>
      </c>
      <c r="AA21" s="537" t="str">
        <f t="shared" si="20"/>
        <v/>
      </c>
      <c r="AB21" s="537" t="str">
        <f t="shared" si="20"/>
        <v/>
      </c>
      <c r="AC21" s="537" t="str">
        <f t="shared" si="20"/>
        <v/>
      </c>
      <c r="AD21" s="537" t="str">
        <f t="shared" si="20"/>
        <v/>
      </c>
      <c r="AE21" s="537" t="str">
        <f t="shared" si="18"/>
        <v/>
      </c>
      <c r="AF21" s="537" t="str">
        <f t="shared" si="20"/>
        <v/>
      </c>
      <c r="AG21" s="537" t="str">
        <f t="shared" si="20"/>
        <v/>
      </c>
      <c r="AH21" s="537" t="str">
        <f t="shared" si="20"/>
        <v/>
      </c>
      <c r="AI21" s="537" t="str">
        <f t="shared" si="20"/>
        <v/>
      </c>
      <c r="AJ21" s="537" t="str">
        <f t="shared" si="20"/>
        <v/>
      </c>
      <c r="AK21" s="537" t="str">
        <f t="shared" si="20"/>
        <v/>
      </c>
      <c r="AL21" s="537" t="str">
        <f t="shared" si="20"/>
        <v/>
      </c>
      <c r="AM21" s="537" t="str">
        <f t="shared" si="20"/>
        <v/>
      </c>
      <c r="AN21" s="537" t="str">
        <f t="shared" si="20"/>
        <v/>
      </c>
      <c r="AO21" s="537" t="str">
        <f t="shared" si="20"/>
        <v/>
      </c>
      <c r="AQ21" s="537" t="str">
        <f>IF(AND($G21=Lists!$D$41,$D21=AQ$7),$F21,"")</f>
        <v/>
      </c>
      <c r="AR21" s="537" t="str">
        <f>IF(AND($G21=Lists!$D$41,$D21=AR$7),$F21,"")</f>
        <v/>
      </c>
      <c r="AS21" s="537" t="str">
        <f>IF(AND($G21=Lists!$D$41,$D21=AS$7),$F21,"")</f>
        <v/>
      </c>
      <c r="AT21" s="537" t="str">
        <f>IF(AND($G21=Lists!$D$41,$D21=AT$7),$F21,"")</f>
        <v/>
      </c>
      <c r="AU21" s="537" t="str">
        <f>IF(AND($G21=Lists!$D$41,$D21=AU$7),$F21,"")</f>
        <v/>
      </c>
      <c r="AV21" s="537" t="str">
        <f>IF(AND($G21=Lists!$D$41,$D21=AV$7),$F21,"")</f>
        <v/>
      </c>
      <c r="AW21" s="537" t="str">
        <f>IF(AND($G21=Lists!$D$41,$D21=AW$7),$F21,"")</f>
        <v/>
      </c>
      <c r="AX21" s="537" t="str">
        <f>IF(AND($G21=Lists!$D$41,$D21=AX$7),$F21,"")</f>
        <v/>
      </c>
      <c r="AY21" s="537" t="str">
        <f>IF(AND($G21=Lists!$D$41,$D21=AY$7),$F21,"")</f>
        <v/>
      </c>
      <c r="AZ21" s="537" t="str">
        <f>IF(AND($G21=Lists!$D$41,$D21=AZ$7),$F21,"")</f>
        <v/>
      </c>
      <c r="BA21" s="537" t="str">
        <f>IF(AND($G21=Lists!$D$41,$D21=BA$7),$F21,"")</f>
        <v/>
      </c>
      <c r="BB21" s="537" t="str">
        <f>IF(AND($G21=Lists!$D$41,$D21=BB$7),$F21,"")</f>
        <v/>
      </c>
      <c r="BC21" s="537">
        <f>IF(AND($G21=Lists!$D$41,$D21=BC$7),$F21,"")</f>
        <v>0</v>
      </c>
      <c r="BD21" s="537" t="str">
        <f>IF(AND($G21=Lists!$D$41,$D21=BD$7),$F21,"")</f>
        <v/>
      </c>
      <c r="BE21" s="537" t="str">
        <f>IF(AND($G21=Lists!$D$41,$D21=BE$7),$F21,"")</f>
        <v/>
      </c>
      <c r="BF21" s="537" t="str">
        <f>IF(AND($G21=Lists!$D$41,$D21=BF$7),$F21,"")</f>
        <v/>
      </c>
      <c r="BG21" s="537" t="str">
        <f>IF(AND($G21=Lists!$D$41,$D21=BG$7),$F21,"")</f>
        <v/>
      </c>
      <c r="BH21" s="537" t="str">
        <f>IF(AND($G21=Lists!$D$41,$D21=BH$7),$F21,"")</f>
        <v/>
      </c>
      <c r="BI21" s="537" t="str">
        <f>IF(AND($G21=Lists!$D$41,$D21=BI$7),$F21,"")</f>
        <v/>
      </c>
      <c r="BJ21" s="537" t="str">
        <f>IF(AND($G21=Lists!$D$41,$D21=BJ$7),$F21,"")</f>
        <v/>
      </c>
      <c r="BK21" s="537" t="str">
        <f>IF(AND($G21=Lists!$D$41,$D21=BK$7),$F21,"")</f>
        <v/>
      </c>
      <c r="BL21" s="537" t="str">
        <f>IF(AND($G21=Lists!$D$41,$D21=BL$7),$F21,"")</f>
        <v/>
      </c>
      <c r="BM21" s="537" t="str">
        <f>IF(AND($G21=Lists!$D$41,$D21=BM$7),$F21,"")</f>
        <v/>
      </c>
      <c r="BN21" s="537" t="str">
        <f>IF(AND($G21=Lists!$D$41,$D21=BN$7),$F21,"")</f>
        <v/>
      </c>
      <c r="BO21" s="537" t="str">
        <f>IF(AND($G21=Lists!$D$41,$D21=BO$7),$F21,"")</f>
        <v/>
      </c>
      <c r="BP21" s="537" t="str">
        <f>IF(AND($G21=Lists!$D$41,$D21=BP$7),$F21,"")</f>
        <v/>
      </c>
      <c r="BQ21" s="537" t="str">
        <f>IF(AND($G21=Lists!$D$41,$D21=BQ$7),$F21,"")</f>
        <v/>
      </c>
      <c r="BR21" s="537" t="str">
        <f>IF(AND($G21=Lists!$D$41,$D21=BR$7),$F21,"")</f>
        <v/>
      </c>
      <c r="BS21" s="537" t="str">
        <f>IF(AND($G21=Lists!$D$41,$D21=BS$7),$F21,"")</f>
        <v/>
      </c>
      <c r="BT21" s="537" t="str">
        <f>IF(AND($G21=Lists!$D$41,$D21=BT$7),$F21,"")</f>
        <v/>
      </c>
      <c r="BU21" s="537" t="str">
        <f>IF(AND($G21=Lists!$D$41,$D21=BU$7),$F21,"")</f>
        <v/>
      </c>
      <c r="BV21" s="537" t="str">
        <f>IF(AND($G21=Lists!$D$41,$D21=BV$7),$F21,"")</f>
        <v/>
      </c>
      <c r="BW21" s="537" t="str">
        <f>IF(AND($G21=Lists!$D$41,$D21=BW$7),$F21,"")</f>
        <v/>
      </c>
      <c r="BY21" s="537" t="str">
        <f>IF(AND($G21=Lists!$D$42,$D21=BY$7),$F21,"")</f>
        <v/>
      </c>
      <c r="BZ21" s="537" t="str">
        <f>IF(AND($G21=Lists!$D$42,$D21=BZ$7),$F21,"")</f>
        <v/>
      </c>
      <c r="CA21" s="537" t="str">
        <f>IF(AND($G21=Lists!$D$42,$D21=CA$7),$F21,"")</f>
        <v/>
      </c>
      <c r="CB21" s="537" t="str">
        <f>IF(AND($G21=Lists!$D$42,$D21=CB$7),$F21,"")</f>
        <v/>
      </c>
      <c r="CC21" s="537" t="str">
        <f>IF(AND($G21=Lists!$D$42,$D21=CC$7),$F21,"")</f>
        <v/>
      </c>
      <c r="CD21" s="537" t="str">
        <f>IF(AND($G21=Lists!$D$42,$D21=CD$7),$F21,"")</f>
        <v/>
      </c>
      <c r="CE21" s="537" t="str">
        <f>IF(AND($G21=Lists!$D$42,$D21=CE$7),$F21,"")</f>
        <v/>
      </c>
      <c r="CF21" s="537" t="str">
        <f>IF(AND($G21=Lists!$D$42,$D21=CF$7),$F21,"")</f>
        <v/>
      </c>
      <c r="CG21" s="537" t="str">
        <f>IF(AND($G21=Lists!$D$42,$D21=CG$7),$F21,"")</f>
        <v/>
      </c>
      <c r="CH21" s="537" t="str">
        <f>IF(AND($G21=Lists!$D$42,$D21=CH$7),$F21,"")</f>
        <v/>
      </c>
      <c r="CI21" s="537" t="str">
        <f>IF(AND($G21=Lists!$D$42,$D21=CI$7),$F21,"")</f>
        <v/>
      </c>
      <c r="CJ21" s="537" t="str">
        <f>IF(AND($G21=Lists!$D$42,$D21=CJ$7),$F21,"")</f>
        <v/>
      </c>
      <c r="CK21" s="537" t="str">
        <f>IF(AND($G21=Lists!$D$42,$D21=CK$7),$F21,"")</f>
        <v/>
      </c>
      <c r="CL21" s="537" t="str">
        <f>IF(AND($G21=Lists!$D$42,$D21=CL$7),$F21,"")</f>
        <v/>
      </c>
      <c r="CM21" s="537" t="str">
        <f>IF(AND($G21=Lists!$D$42,$D21=CM$7),$F21,"")</f>
        <v/>
      </c>
      <c r="CN21" s="537" t="str">
        <f>IF(AND($G21=Lists!$D$42,$D21=CN$7),$F21,"")</f>
        <v/>
      </c>
      <c r="CO21" s="537" t="str">
        <f>IF(AND($G21=Lists!$D$42,$D21=CO$7),$F21,"")</f>
        <v/>
      </c>
      <c r="CP21" s="537" t="str">
        <f>IF(AND($G21=Lists!$D$42,$D21=CP$7),$F21,"")</f>
        <v/>
      </c>
      <c r="CQ21" s="537" t="str">
        <f>IF(AND($G21=Lists!$D$42,$D21=CQ$7),$F21,"")</f>
        <v/>
      </c>
      <c r="CR21" s="537" t="str">
        <f>IF(AND($G21=Lists!$D$42,$D21=CR$7),$F21,"")</f>
        <v/>
      </c>
      <c r="CS21" s="537" t="str">
        <f>IF(AND($G21=Lists!$D$42,$D21=CS$7),$F21,"")</f>
        <v/>
      </c>
      <c r="CT21" s="537" t="str">
        <f>IF(AND($G21=Lists!$D$42,$D21=CT$7),$F21,"")</f>
        <v/>
      </c>
      <c r="CU21" s="537" t="str">
        <f>IF(AND($G21=Lists!$D$42,$D21=CU$7),$F21,"")</f>
        <v/>
      </c>
      <c r="CV21" s="537" t="str">
        <f>IF(AND($G21=Lists!$D$42,$D21=CV$7),$F21,"")</f>
        <v/>
      </c>
      <c r="CW21" s="537" t="str">
        <f>IF(AND($G21=Lists!$D$42,$D21=CW$7),$F21,"")</f>
        <v/>
      </c>
      <c r="CX21" s="537" t="str">
        <f>IF(AND($G21=Lists!$D$42,$D21=CX$7),$F21,"")</f>
        <v/>
      </c>
      <c r="CY21" s="537" t="str">
        <f>IF(AND($G21=Lists!$D$42,$D21=CY$7),$F21,"")</f>
        <v/>
      </c>
      <c r="CZ21" s="537" t="str">
        <f>IF(AND($G21=Lists!$D$42,$D21=CZ$7),$F21,"")</f>
        <v/>
      </c>
      <c r="DA21" s="537" t="str">
        <f>IF(AND($G21=Lists!$D$42,$D21=DA$7),$F21,"")</f>
        <v/>
      </c>
      <c r="DB21" s="537" t="str">
        <f>IF(AND($G21=Lists!$D$42,$D21=DB$7),$F21,"")</f>
        <v/>
      </c>
      <c r="DC21" s="537"/>
      <c r="DD21" s="537"/>
      <c r="DE21" s="537" t="str">
        <f>IF(AND($G21=Lists!$D$42,$D21=DE$7),$F21,"")</f>
        <v/>
      </c>
    </row>
    <row r="22" spans="1:109">
      <c r="A22" s="532"/>
      <c r="B22" s="137"/>
      <c r="C22" s="139"/>
      <c r="D22" s="120" t="s">
        <v>1792</v>
      </c>
      <c r="E22" s="89"/>
      <c r="F22" s="128"/>
      <c r="G22" s="55" t="s">
        <v>1779</v>
      </c>
      <c r="H22" s="536"/>
      <c r="I22" s="537" t="str">
        <f t="shared" si="19"/>
        <v/>
      </c>
      <c r="J22" s="537" t="str">
        <f t="shared" si="19"/>
        <v/>
      </c>
      <c r="K22" s="537" t="str">
        <f t="shared" si="19"/>
        <v/>
      </c>
      <c r="L22" s="537" t="str">
        <f t="shared" si="17"/>
        <v/>
      </c>
      <c r="M22" s="537" t="str">
        <f t="shared" si="17"/>
        <v/>
      </c>
      <c r="N22" s="537" t="str">
        <f t="shared" si="19"/>
        <v/>
      </c>
      <c r="O22" s="537" t="str">
        <f t="shared" si="19"/>
        <v/>
      </c>
      <c r="P22" s="537" t="str">
        <f t="shared" si="19"/>
        <v/>
      </c>
      <c r="Q22" s="537" t="str">
        <f t="shared" si="19"/>
        <v/>
      </c>
      <c r="R22" s="537" t="str">
        <f t="shared" si="19"/>
        <v/>
      </c>
      <c r="S22" s="537" t="str">
        <f t="shared" si="19"/>
        <v/>
      </c>
      <c r="T22" s="537" t="str">
        <f t="shared" si="19"/>
        <v/>
      </c>
      <c r="U22" s="537" t="str">
        <f t="shared" si="19"/>
        <v/>
      </c>
      <c r="V22" s="537">
        <f t="shared" si="19"/>
        <v>0</v>
      </c>
      <c r="W22" s="537" t="str">
        <f t="shared" si="19"/>
        <v/>
      </c>
      <c r="X22" s="537" t="str">
        <f t="shared" si="19"/>
        <v/>
      </c>
      <c r="Y22" s="537" t="str">
        <f t="shared" si="19"/>
        <v/>
      </c>
      <c r="Z22" s="537" t="str">
        <f t="shared" si="19"/>
        <v/>
      </c>
      <c r="AA22" s="537" t="str">
        <f t="shared" si="20"/>
        <v/>
      </c>
      <c r="AB22" s="537" t="str">
        <f t="shared" si="20"/>
        <v/>
      </c>
      <c r="AC22" s="537" t="str">
        <f t="shared" si="20"/>
        <v/>
      </c>
      <c r="AD22" s="537" t="str">
        <f t="shared" si="20"/>
        <v/>
      </c>
      <c r="AE22" s="537" t="str">
        <f t="shared" si="18"/>
        <v/>
      </c>
      <c r="AF22" s="537" t="str">
        <f t="shared" si="20"/>
        <v/>
      </c>
      <c r="AG22" s="537" t="str">
        <f t="shared" si="20"/>
        <v/>
      </c>
      <c r="AH22" s="537" t="str">
        <f t="shared" si="20"/>
        <v/>
      </c>
      <c r="AI22" s="537" t="str">
        <f t="shared" si="20"/>
        <v/>
      </c>
      <c r="AJ22" s="537" t="str">
        <f t="shared" si="20"/>
        <v/>
      </c>
      <c r="AK22" s="537" t="str">
        <f t="shared" si="20"/>
        <v/>
      </c>
      <c r="AL22" s="537" t="str">
        <f t="shared" si="20"/>
        <v/>
      </c>
      <c r="AM22" s="537" t="str">
        <f t="shared" si="20"/>
        <v/>
      </c>
      <c r="AN22" s="537" t="str">
        <f t="shared" si="20"/>
        <v/>
      </c>
      <c r="AO22" s="537" t="str">
        <f t="shared" si="20"/>
        <v/>
      </c>
      <c r="AQ22" s="537" t="str">
        <f>IF(AND($G22=Lists!$D$41,$D22=AQ$7),$F22,"")</f>
        <v/>
      </c>
      <c r="AR22" s="537" t="str">
        <f>IF(AND($G22=Lists!$D$41,$D22=AR$7),$F22,"")</f>
        <v/>
      </c>
      <c r="AS22" s="537" t="str">
        <f>IF(AND($G22=Lists!$D$41,$D22=AS$7),$F22,"")</f>
        <v/>
      </c>
      <c r="AT22" s="537" t="str">
        <f>IF(AND($G22=Lists!$D$41,$D22=AT$7),$F22,"")</f>
        <v/>
      </c>
      <c r="AU22" s="537" t="str">
        <f>IF(AND($G22=Lists!$D$41,$D22=AU$7),$F22,"")</f>
        <v/>
      </c>
      <c r="AV22" s="537" t="str">
        <f>IF(AND($G22=Lists!$D$41,$D22=AV$7),$F22,"")</f>
        <v/>
      </c>
      <c r="AW22" s="537" t="str">
        <f>IF(AND($G22=Lists!$D$41,$D22=AW$7),$F22,"")</f>
        <v/>
      </c>
      <c r="AX22" s="537" t="str">
        <f>IF(AND($G22=Lists!$D$41,$D22=AX$7),$F22,"")</f>
        <v/>
      </c>
      <c r="AY22" s="537" t="str">
        <f>IF(AND($G22=Lists!$D$41,$D22=AY$7),$F22,"")</f>
        <v/>
      </c>
      <c r="AZ22" s="537" t="str">
        <f>IF(AND($G22=Lists!$D$41,$D22=AZ$7),$F22,"")</f>
        <v/>
      </c>
      <c r="BA22" s="537" t="str">
        <f>IF(AND($G22=Lists!$D$41,$D22=BA$7),$F22,"")</f>
        <v/>
      </c>
      <c r="BB22" s="537" t="str">
        <f>IF(AND($G22=Lists!$D$41,$D22=BB$7),$F22,"")</f>
        <v/>
      </c>
      <c r="BC22" s="537" t="str">
        <f>IF(AND($G22=Lists!$D$41,$D22=BC$7),$F22,"")</f>
        <v/>
      </c>
      <c r="BD22" s="537">
        <f>IF(AND($G22=Lists!$D$41,$D22=BD$7),$F22,"")</f>
        <v>0</v>
      </c>
      <c r="BE22" s="537" t="str">
        <f>IF(AND($G22=Lists!$D$41,$D22=BE$7),$F22,"")</f>
        <v/>
      </c>
      <c r="BF22" s="537" t="str">
        <f>IF(AND($G22=Lists!$D$41,$D22=BF$7),$F22,"")</f>
        <v/>
      </c>
      <c r="BG22" s="537" t="str">
        <f>IF(AND($G22=Lists!$D$41,$D22=BG$7),$F22,"")</f>
        <v/>
      </c>
      <c r="BH22" s="537" t="str">
        <f>IF(AND($G22=Lists!$D$41,$D22=BH$7),$F22,"")</f>
        <v/>
      </c>
      <c r="BI22" s="537" t="str">
        <f>IF(AND($G22=Lists!$D$41,$D22=BI$7),$F22,"")</f>
        <v/>
      </c>
      <c r="BJ22" s="537" t="str">
        <f>IF(AND($G22=Lists!$D$41,$D22=BJ$7),$F22,"")</f>
        <v/>
      </c>
      <c r="BK22" s="537" t="str">
        <f>IF(AND($G22=Lists!$D$41,$D22=BK$7),$F22,"")</f>
        <v/>
      </c>
      <c r="BL22" s="537" t="str">
        <f>IF(AND($G22=Lists!$D$41,$D22=BL$7),$F22,"")</f>
        <v/>
      </c>
      <c r="BM22" s="537" t="str">
        <f>IF(AND($G22=Lists!$D$41,$D22=BM$7),$F22,"")</f>
        <v/>
      </c>
      <c r="BN22" s="537" t="str">
        <f>IF(AND($G22=Lists!$D$41,$D22=BN$7),$F22,"")</f>
        <v/>
      </c>
      <c r="BO22" s="537" t="str">
        <f>IF(AND($G22=Lists!$D$41,$D22=BO$7),$F22,"")</f>
        <v/>
      </c>
      <c r="BP22" s="537" t="str">
        <f>IF(AND($G22=Lists!$D$41,$D22=BP$7),$F22,"")</f>
        <v/>
      </c>
      <c r="BQ22" s="537" t="str">
        <f>IF(AND($G22=Lists!$D$41,$D22=BQ$7),$F22,"")</f>
        <v/>
      </c>
      <c r="BR22" s="537" t="str">
        <f>IF(AND($G22=Lists!$D$41,$D22=BR$7),$F22,"")</f>
        <v/>
      </c>
      <c r="BS22" s="537" t="str">
        <f>IF(AND($G22=Lists!$D$41,$D22=BS$7),$F22,"")</f>
        <v/>
      </c>
      <c r="BT22" s="537" t="str">
        <f>IF(AND($G22=Lists!$D$41,$D22=BT$7),$F22,"")</f>
        <v/>
      </c>
      <c r="BU22" s="537" t="str">
        <f>IF(AND($G22=Lists!$D$41,$D22=BU$7),$F22,"")</f>
        <v/>
      </c>
      <c r="BV22" s="537" t="str">
        <f>IF(AND($G22=Lists!$D$41,$D22=BV$7),$F22,"")</f>
        <v/>
      </c>
      <c r="BW22" s="537" t="str">
        <f>IF(AND($G22=Lists!$D$41,$D22=BW$7),$F22,"")</f>
        <v/>
      </c>
      <c r="BY22" s="537" t="str">
        <f>IF(AND($G22=Lists!$D$42,$D22=BY$7),$F22,"")</f>
        <v/>
      </c>
      <c r="BZ22" s="537" t="str">
        <f>IF(AND($G22=Lists!$D$42,$D22=BZ$7),$F22,"")</f>
        <v/>
      </c>
      <c r="CA22" s="537" t="str">
        <f>IF(AND($G22=Lists!$D$42,$D22=CA$7),$F22,"")</f>
        <v/>
      </c>
      <c r="CB22" s="537" t="str">
        <f>IF(AND($G22=Lists!$D$42,$D22=CB$7),$F22,"")</f>
        <v/>
      </c>
      <c r="CC22" s="537" t="str">
        <f>IF(AND($G22=Lists!$D$42,$D22=CC$7),$F22,"")</f>
        <v/>
      </c>
      <c r="CD22" s="537" t="str">
        <f>IF(AND($G22=Lists!$D$42,$D22=CD$7),$F22,"")</f>
        <v/>
      </c>
      <c r="CE22" s="537" t="str">
        <f>IF(AND($G22=Lists!$D$42,$D22=CE$7),$F22,"")</f>
        <v/>
      </c>
      <c r="CF22" s="537" t="str">
        <f>IF(AND($G22=Lists!$D$42,$D22=CF$7),$F22,"")</f>
        <v/>
      </c>
      <c r="CG22" s="537" t="str">
        <f>IF(AND($G22=Lists!$D$42,$D22=CG$7),$F22,"")</f>
        <v/>
      </c>
      <c r="CH22" s="537" t="str">
        <f>IF(AND($G22=Lists!$D$42,$D22=CH$7),$F22,"")</f>
        <v/>
      </c>
      <c r="CI22" s="537" t="str">
        <f>IF(AND($G22=Lists!$D$42,$D22=CI$7),$F22,"")</f>
        <v/>
      </c>
      <c r="CJ22" s="537" t="str">
        <f>IF(AND($G22=Lists!$D$42,$D22=CJ$7),$F22,"")</f>
        <v/>
      </c>
      <c r="CK22" s="537" t="str">
        <f>IF(AND($G22=Lists!$D$42,$D22=CK$7),$F22,"")</f>
        <v/>
      </c>
      <c r="CL22" s="537" t="str">
        <f>IF(AND($G22=Lists!$D$42,$D22=CL$7),$F22,"")</f>
        <v/>
      </c>
      <c r="CM22" s="537" t="str">
        <f>IF(AND($G22=Lists!$D$42,$D22=CM$7),$F22,"")</f>
        <v/>
      </c>
      <c r="CN22" s="537" t="str">
        <f>IF(AND($G22=Lists!$D$42,$D22=CN$7),$F22,"")</f>
        <v/>
      </c>
      <c r="CO22" s="537" t="str">
        <f>IF(AND($G22=Lists!$D$42,$D22=CO$7),$F22,"")</f>
        <v/>
      </c>
      <c r="CP22" s="537" t="str">
        <f>IF(AND($G22=Lists!$D$42,$D22=CP$7),$F22,"")</f>
        <v/>
      </c>
      <c r="CQ22" s="537" t="str">
        <f>IF(AND($G22=Lists!$D$42,$D22=CQ$7),$F22,"")</f>
        <v/>
      </c>
      <c r="CR22" s="537" t="str">
        <f>IF(AND($G22=Lists!$D$42,$D22=CR$7),$F22,"")</f>
        <v/>
      </c>
      <c r="CS22" s="537" t="str">
        <f>IF(AND($G22=Lists!$D$42,$D22=CS$7),$F22,"")</f>
        <v/>
      </c>
      <c r="CT22" s="537" t="str">
        <f>IF(AND($G22=Lists!$D$42,$D22=CT$7),$F22,"")</f>
        <v/>
      </c>
      <c r="CU22" s="537" t="str">
        <f>IF(AND($G22=Lists!$D$42,$D22=CU$7),$F22,"")</f>
        <v/>
      </c>
      <c r="CV22" s="537" t="str">
        <f>IF(AND($G22=Lists!$D$42,$D22=CV$7),$F22,"")</f>
        <v/>
      </c>
      <c r="CW22" s="537" t="str">
        <f>IF(AND($G22=Lists!$D$42,$D22=CW$7),$F22,"")</f>
        <v/>
      </c>
      <c r="CX22" s="537" t="str">
        <f>IF(AND($G22=Lists!$D$42,$D22=CX$7),$F22,"")</f>
        <v/>
      </c>
      <c r="CY22" s="537" t="str">
        <f>IF(AND($G22=Lists!$D$42,$D22=CY$7),$F22,"")</f>
        <v/>
      </c>
      <c r="CZ22" s="537" t="str">
        <f>IF(AND($G22=Lists!$D$42,$D22=CZ$7),$F22,"")</f>
        <v/>
      </c>
      <c r="DA22" s="537" t="str">
        <f>IF(AND($G22=Lists!$D$42,$D22=DA$7),$F22,"")</f>
        <v/>
      </c>
      <c r="DB22" s="537" t="str">
        <f>IF(AND($G22=Lists!$D$42,$D22=DB$7),$F22,"")</f>
        <v/>
      </c>
      <c r="DC22" s="537"/>
      <c r="DD22" s="537"/>
      <c r="DE22" s="537" t="str">
        <f>IF(AND($G22=Lists!$D$42,$D22=DE$7),$F22,"")</f>
        <v/>
      </c>
    </row>
    <row r="23" spans="1:109">
      <c r="A23" s="532"/>
      <c r="B23" s="137"/>
      <c r="C23" s="139"/>
      <c r="D23" s="120" t="s">
        <v>1793</v>
      </c>
      <c r="E23" s="89"/>
      <c r="F23" s="128"/>
      <c r="G23" s="55" t="s">
        <v>1779</v>
      </c>
      <c r="H23" s="536"/>
      <c r="I23" s="537" t="str">
        <f t="shared" si="19"/>
        <v/>
      </c>
      <c r="J23" s="537" t="str">
        <f t="shared" si="19"/>
        <v/>
      </c>
      <c r="K23" s="537" t="str">
        <f t="shared" si="19"/>
        <v/>
      </c>
      <c r="L23" s="537" t="str">
        <f t="shared" si="17"/>
        <v/>
      </c>
      <c r="M23" s="537" t="str">
        <f t="shared" si="17"/>
        <v/>
      </c>
      <c r="N23" s="537" t="str">
        <f t="shared" si="19"/>
        <v/>
      </c>
      <c r="O23" s="537" t="str">
        <f t="shared" si="19"/>
        <v/>
      </c>
      <c r="P23" s="537" t="str">
        <f t="shared" si="19"/>
        <v/>
      </c>
      <c r="Q23" s="537" t="str">
        <f t="shared" si="19"/>
        <v/>
      </c>
      <c r="R23" s="537" t="str">
        <f t="shared" si="19"/>
        <v/>
      </c>
      <c r="S23" s="537" t="str">
        <f t="shared" si="19"/>
        <v/>
      </c>
      <c r="T23" s="537" t="str">
        <f t="shared" si="19"/>
        <v/>
      </c>
      <c r="U23" s="537" t="str">
        <f t="shared" si="19"/>
        <v/>
      </c>
      <c r="V23" s="537" t="str">
        <f t="shared" si="19"/>
        <v/>
      </c>
      <c r="W23" s="537">
        <f t="shared" si="19"/>
        <v>0</v>
      </c>
      <c r="X23" s="537" t="str">
        <f t="shared" si="19"/>
        <v/>
      </c>
      <c r="Y23" s="537" t="str">
        <f t="shared" si="19"/>
        <v/>
      </c>
      <c r="Z23" s="537" t="str">
        <f t="shared" si="19"/>
        <v/>
      </c>
      <c r="AA23" s="537" t="str">
        <f t="shared" si="20"/>
        <v/>
      </c>
      <c r="AB23" s="537" t="str">
        <f t="shared" si="20"/>
        <v/>
      </c>
      <c r="AC23" s="537" t="str">
        <f t="shared" si="20"/>
        <v/>
      </c>
      <c r="AD23" s="537" t="str">
        <f t="shared" si="20"/>
        <v/>
      </c>
      <c r="AE23" s="537" t="str">
        <f t="shared" si="18"/>
        <v/>
      </c>
      <c r="AF23" s="537" t="str">
        <f t="shared" si="20"/>
        <v/>
      </c>
      <c r="AG23" s="537" t="str">
        <f t="shared" si="20"/>
        <v/>
      </c>
      <c r="AH23" s="537" t="str">
        <f t="shared" si="20"/>
        <v/>
      </c>
      <c r="AI23" s="537" t="str">
        <f t="shared" si="20"/>
        <v/>
      </c>
      <c r="AJ23" s="537" t="str">
        <f t="shared" si="20"/>
        <v/>
      </c>
      <c r="AK23" s="537" t="str">
        <f t="shared" si="20"/>
        <v/>
      </c>
      <c r="AL23" s="537" t="str">
        <f t="shared" si="20"/>
        <v/>
      </c>
      <c r="AM23" s="537" t="str">
        <f t="shared" si="20"/>
        <v/>
      </c>
      <c r="AN23" s="537" t="str">
        <f t="shared" si="20"/>
        <v/>
      </c>
      <c r="AO23" s="537" t="str">
        <f t="shared" si="20"/>
        <v/>
      </c>
      <c r="AQ23" s="537" t="str">
        <f>IF(AND($G23=Lists!$D$41,$D23=AQ$7),$F23,"")</f>
        <v/>
      </c>
      <c r="AR23" s="537" t="str">
        <f>IF(AND($G23=Lists!$D$41,$D23=AR$7),$F23,"")</f>
        <v/>
      </c>
      <c r="AS23" s="537" t="str">
        <f>IF(AND($G23=Lists!$D$41,$D23=AS$7),$F23,"")</f>
        <v/>
      </c>
      <c r="AT23" s="537" t="str">
        <f>IF(AND($G23=Lists!$D$41,$D23=AT$7),$F23,"")</f>
        <v/>
      </c>
      <c r="AU23" s="537" t="str">
        <f>IF(AND($G23=Lists!$D$41,$D23=AU$7),$F23,"")</f>
        <v/>
      </c>
      <c r="AV23" s="537" t="str">
        <f>IF(AND($G23=Lists!$D$41,$D23=AV$7),$F23,"")</f>
        <v/>
      </c>
      <c r="AW23" s="537" t="str">
        <f>IF(AND($G23=Lists!$D$41,$D23=AW$7),$F23,"")</f>
        <v/>
      </c>
      <c r="AX23" s="537" t="str">
        <f>IF(AND($G23=Lists!$D$41,$D23=AX$7),$F23,"")</f>
        <v/>
      </c>
      <c r="AY23" s="537" t="str">
        <f>IF(AND($G23=Lists!$D$41,$D23=AY$7),$F23,"")</f>
        <v/>
      </c>
      <c r="AZ23" s="537" t="str">
        <f>IF(AND($G23=Lists!$D$41,$D23=AZ$7),$F23,"")</f>
        <v/>
      </c>
      <c r="BA23" s="537" t="str">
        <f>IF(AND($G23=Lists!$D$41,$D23=BA$7),$F23,"")</f>
        <v/>
      </c>
      <c r="BB23" s="537" t="str">
        <f>IF(AND($G23=Lists!$D$41,$D23=BB$7),$F23,"")</f>
        <v/>
      </c>
      <c r="BC23" s="537" t="str">
        <f>IF(AND($G23=Lists!$D$41,$D23=BC$7),$F23,"")</f>
        <v/>
      </c>
      <c r="BD23" s="537" t="str">
        <f>IF(AND($G23=Lists!$D$41,$D23=BD$7),$F23,"")</f>
        <v/>
      </c>
      <c r="BE23" s="537">
        <f>IF(AND($G23=Lists!$D$41,$D23=BE$7),$F23,"")</f>
        <v>0</v>
      </c>
      <c r="BF23" s="537" t="str">
        <f>IF(AND($G23=Lists!$D$41,$D23=BF$7),$F23,"")</f>
        <v/>
      </c>
      <c r="BG23" s="537" t="str">
        <f>IF(AND($G23=Lists!$D$41,$D23=BG$7),$F23,"")</f>
        <v/>
      </c>
      <c r="BH23" s="537" t="str">
        <f>IF(AND($G23=Lists!$D$41,$D23=BH$7),$F23,"")</f>
        <v/>
      </c>
      <c r="BI23" s="537" t="str">
        <f>IF(AND($G23=Lists!$D$41,$D23=BI$7),$F23,"")</f>
        <v/>
      </c>
      <c r="BJ23" s="537" t="str">
        <f>IF(AND($G23=Lists!$D$41,$D23=BJ$7),$F23,"")</f>
        <v/>
      </c>
      <c r="BK23" s="537" t="str">
        <f>IF(AND($G23=Lists!$D$41,$D23=BK$7),$F23,"")</f>
        <v/>
      </c>
      <c r="BL23" s="537" t="str">
        <f>IF(AND($G23=Lists!$D$41,$D23=BL$7),$F23,"")</f>
        <v/>
      </c>
      <c r="BM23" s="537" t="str">
        <f>IF(AND($G23=Lists!$D$41,$D23=BM$7),$F23,"")</f>
        <v/>
      </c>
      <c r="BN23" s="537" t="str">
        <f>IF(AND($G23=Lists!$D$41,$D23=BN$7),$F23,"")</f>
        <v/>
      </c>
      <c r="BO23" s="537" t="str">
        <f>IF(AND($G23=Lists!$D$41,$D23=BO$7),$F23,"")</f>
        <v/>
      </c>
      <c r="BP23" s="537" t="str">
        <f>IF(AND($G23=Lists!$D$41,$D23=BP$7),$F23,"")</f>
        <v/>
      </c>
      <c r="BQ23" s="537" t="str">
        <f>IF(AND($G23=Lists!$D$41,$D23=BQ$7),$F23,"")</f>
        <v/>
      </c>
      <c r="BR23" s="537" t="str">
        <f>IF(AND($G23=Lists!$D$41,$D23=BR$7),$F23,"")</f>
        <v/>
      </c>
      <c r="BS23" s="537" t="str">
        <f>IF(AND($G23=Lists!$D$41,$D23=BS$7),$F23,"")</f>
        <v/>
      </c>
      <c r="BT23" s="537" t="str">
        <f>IF(AND($G23=Lists!$D$41,$D23=BT$7),$F23,"")</f>
        <v/>
      </c>
      <c r="BU23" s="537" t="str">
        <f>IF(AND($G23=Lists!$D$41,$D23=BU$7),$F23,"")</f>
        <v/>
      </c>
      <c r="BV23" s="537" t="str">
        <f>IF(AND($G23=Lists!$D$41,$D23=BV$7),$F23,"")</f>
        <v/>
      </c>
      <c r="BW23" s="537" t="str">
        <f>IF(AND($G23=Lists!$D$41,$D23=BW$7),$F23,"")</f>
        <v/>
      </c>
      <c r="BY23" s="537" t="str">
        <f>IF(AND($G23=Lists!$D$42,$D23=BY$7),$F23,"")</f>
        <v/>
      </c>
      <c r="BZ23" s="537" t="str">
        <f>IF(AND($G23=Lists!$D$42,$D23=BZ$7),$F23,"")</f>
        <v/>
      </c>
      <c r="CA23" s="537" t="str">
        <f>IF(AND($G23=Lists!$D$42,$D23=CA$7),$F23,"")</f>
        <v/>
      </c>
      <c r="CB23" s="537" t="str">
        <f>IF(AND($G23=Lists!$D$42,$D23=CB$7),$F23,"")</f>
        <v/>
      </c>
      <c r="CC23" s="537" t="str">
        <f>IF(AND($G23=Lists!$D$42,$D23=CC$7),$F23,"")</f>
        <v/>
      </c>
      <c r="CD23" s="537" t="str">
        <f>IF(AND($G23=Lists!$D$42,$D23=CD$7),$F23,"")</f>
        <v/>
      </c>
      <c r="CE23" s="537" t="str">
        <f>IF(AND($G23=Lists!$D$42,$D23=CE$7),$F23,"")</f>
        <v/>
      </c>
      <c r="CF23" s="537" t="str">
        <f>IF(AND($G23=Lists!$D$42,$D23=CF$7),$F23,"")</f>
        <v/>
      </c>
      <c r="CG23" s="537" t="str">
        <f>IF(AND($G23=Lists!$D$42,$D23=CG$7),$F23,"")</f>
        <v/>
      </c>
      <c r="CH23" s="537" t="str">
        <f>IF(AND($G23=Lists!$D$42,$D23=CH$7),$F23,"")</f>
        <v/>
      </c>
      <c r="CI23" s="537" t="str">
        <f>IF(AND($G23=Lists!$D$42,$D23=CI$7),$F23,"")</f>
        <v/>
      </c>
      <c r="CJ23" s="537" t="str">
        <f>IF(AND($G23=Lists!$D$42,$D23=CJ$7),$F23,"")</f>
        <v/>
      </c>
      <c r="CK23" s="537" t="str">
        <f>IF(AND($G23=Lists!$D$42,$D23=CK$7),$F23,"")</f>
        <v/>
      </c>
      <c r="CL23" s="537" t="str">
        <f>IF(AND($G23=Lists!$D$42,$D23=CL$7),$F23,"")</f>
        <v/>
      </c>
      <c r="CM23" s="537" t="str">
        <f>IF(AND($G23=Lists!$D$42,$D23=CM$7),$F23,"")</f>
        <v/>
      </c>
      <c r="CN23" s="537" t="str">
        <f>IF(AND($G23=Lists!$D$42,$D23=CN$7),$F23,"")</f>
        <v/>
      </c>
      <c r="CO23" s="537" t="str">
        <f>IF(AND($G23=Lists!$D$42,$D23=CO$7),$F23,"")</f>
        <v/>
      </c>
      <c r="CP23" s="537" t="str">
        <f>IF(AND($G23=Lists!$D$42,$D23=CP$7),$F23,"")</f>
        <v/>
      </c>
      <c r="CQ23" s="537" t="str">
        <f>IF(AND($G23=Lists!$D$42,$D23=CQ$7),$F23,"")</f>
        <v/>
      </c>
      <c r="CR23" s="537" t="str">
        <f>IF(AND($G23=Lists!$D$42,$D23=CR$7),$F23,"")</f>
        <v/>
      </c>
      <c r="CS23" s="537" t="str">
        <f>IF(AND($G23=Lists!$D$42,$D23=CS$7),$F23,"")</f>
        <v/>
      </c>
      <c r="CT23" s="537" t="str">
        <f>IF(AND($G23=Lists!$D$42,$D23=CT$7),$F23,"")</f>
        <v/>
      </c>
      <c r="CU23" s="537" t="str">
        <f>IF(AND($G23=Lists!$D$42,$D23=CU$7),$F23,"")</f>
        <v/>
      </c>
      <c r="CV23" s="537" t="str">
        <f>IF(AND($G23=Lists!$D$42,$D23=CV$7),$F23,"")</f>
        <v/>
      </c>
      <c r="CW23" s="537" t="str">
        <f>IF(AND($G23=Lists!$D$42,$D23=CW$7),$F23,"")</f>
        <v/>
      </c>
      <c r="CX23" s="537" t="str">
        <f>IF(AND($G23=Lists!$D$42,$D23=CX$7),$F23,"")</f>
        <v/>
      </c>
      <c r="CY23" s="537" t="str">
        <f>IF(AND($G23=Lists!$D$42,$D23=CY$7),$F23,"")</f>
        <v/>
      </c>
      <c r="CZ23" s="537" t="str">
        <f>IF(AND($G23=Lists!$D$42,$D23=CZ$7),$F23,"")</f>
        <v/>
      </c>
      <c r="DA23" s="537" t="str">
        <f>IF(AND($G23=Lists!$D$42,$D23=DA$7),$F23,"")</f>
        <v/>
      </c>
      <c r="DB23" s="537" t="str">
        <f>IF(AND($G23=Lists!$D$42,$D23=DB$7),$F23,"")</f>
        <v/>
      </c>
      <c r="DC23" s="537"/>
      <c r="DD23" s="537"/>
      <c r="DE23" s="537" t="str">
        <f>IF(AND($G23=Lists!$D$42,$D23=DE$7),$F23,"")</f>
        <v/>
      </c>
    </row>
    <row r="24" spans="1:109">
      <c r="A24" s="532"/>
      <c r="B24" s="137"/>
      <c r="C24" s="139"/>
      <c r="D24" s="120" t="s">
        <v>1794</v>
      </c>
      <c r="E24" s="89"/>
      <c r="F24" s="128"/>
      <c r="G24" s="55" t="s">
        <v>1779</v>
      </c>
      <c r="H24" s="536"/>
      <c r="I24" s="537" t="str">
        <f t="shared" si="19"/>
        <v/>
      </c>
      <c r="J24" s="537" t="str">
        <f t="shared" si="19"/>
        <v/>
      </c>
      <c r="K24" s="537" t="str">
        <f t="shared" si="19"/>
        <v/>
      </c>
      <c r="L24" s="537" t="str">
        <f t="shared" si="17"/>
        <v/>
      </c>
      <c r="M24" s="537" t="str">
        <f t="shared" si="17"/>
        <v/>
      </c>
      <c r="N24" s="537" t="str">
        <f t="shared" si="19"/>
        <v/>
      </c>
      <c r="O24" s="537" t="str">
        <f t="shared" si="19"/>
        <v/>
      </c>
      <c r="P24" s="537" t="str">
        <f t="shared" si="19"/>
        <v/>
      </c>
      <c r="Q24" s="537" t="str">
        <f t="shared" si="19"/>
        <v/>
      </c>
      <c r="R24" s="537" t="str">
        <f t="shared" si="19"/>
        <v/>
      </c>
      <c r="S24" s="537" t="str">
        <f t="shared" si="19"/>
        <v/>
      </c>
      <c r="T24" s="537" t="str">
        <f t="shared" si="19"/>
        <v/>
      </c>
      <c r="U24" s="537" t="str">
        <f t="shared" si="19"/>
        <v/>
      </c>
      <c r="V24" s="537" t="str">
        <f t="shared" si="19"/>
        <v/>
      </c>
      <c r="W24" s="537" t="str">
        <f t="shared" si="19"/>
        <v/>
      </c>
      <c r="X24" s="537">
        <f t="shared" si="19"/>
        <v>0</v>
      </c>
      <c r="Y24" s="537" t="str">
        <f t="shared" si="19"/>
        <v/>
      </c>
      <c r="Z24" s="537" t="str">
        <f t="shared" si="19"/>
        <v/>
      </c>
      <c r="AA24" s="537" t="str">
        <f t="shared" si="20"/>
        <v/>
      </c>
      <c r="AB24" s="537" t="str">
        <f t="shared" si="20"/>
        <v/>
      </c>
      <c r="AC24" s="537" t="str">
        <f t="shared" si="20"/>
        <v/>
      </c>
      <c r="AD24" s="537" t="str">
        <f t="shared" si="20"/>
        <v/>
      </c>
      <c r="AE24" s="537" t="str">
        <f t="shared" si="18"/>
        <v/>
      </c>
      <c r="AF24" s="537" t="str">
        <f t="shared" si="20"/>
        <v/>
      </c>
      <c r="AG24" s="537" t="str">
        <f t="shared" si="20"/>
        <v/>
      </c>
      <c r="AH24" s="537" t="str">
        <f t="shared" si="20"/>
        <v/>
      </c>
      <c r="AI24" s="537" t="str">
        <f t="shared" si="20"/>
        <v/>
      </c>
      <c r="AJ24" s="537" t="str">
        <f t="shared" si="20"/>
        <v/>
      </c>
      <c r="AK24" s="537" t="str">
        <f t="shared" si="20"/>
        <v/>
      </c>
      <c r="AL24" s="537" t="str">
        <f t="shared" si="20"/>
        <v/>
      </c>
      <c r="AM24" s="537" t="str">
        <f t="shared" si="20"/>
        <v/>
      </c>
      <c r="AN24" s="537" t="str">
        <f t="shared" si="20"/>
        <v/>
      </c>
      <c r="AO24" s="537" t="str">
        <f t="shared" si="20"/>
        <v/>
      </c>
      <c r="AQ24" s="537" t="str">
        <f>IF(AND($G24=Lists!$D$41,$D24=AQ$7),$F24,"")</f>
        <v/>
      </c>
      <c r="AR24" s="537" t="str">
        <f>IF(AND($G24=Lists!$D$41,$D24=AR$7),$F24,"")</f>
        <v/>
      </c>
      <c r="AS24" s="537" t="str">
        <f>IF(AND($G24=Lists!$D$41,$D24=AS$7),$F24,"")</f>
        <v/>
      </c>
      <c r="AT24" s="537" t="str">
        <f>IF(AND($G24=Lists!$D$41,$D24=AT$7),$F24,"")</f>
        <v/>
      </c>
      <c r="AU24" s="537" t="str">
        <f>IF(AND($G24=Lists!$D$41,$D24=AU$7),$F24,"")</f>
        <v/>
      </c>
      <c r="AV24" s="537" t="str">
        <f>IF(AND($G24=Lists!$D$41,$D24=AV$7),$F24,"")</f>
        <v/>
      </c>
      <c r="AW24" s="537" t="str">
        <f>IF(AND($G24=Lists!$D$41,$D24=AW$7),$F24,"")</f>
        <v/>
      </c>
      <c r="AX24" s="537" t="str">
        <f>IF(AND($G24=Lists!$D$41,$D24=AX$7),$F24,"")</f>
        <v/>
      </c>
      <c r="AY24" s="537" t="str">
        <f>IF(AND($G24=Lists!$D$41,$D24=AY$7),$F24,"")</f>
        <v/>
      </c>
      <c r="AZ24" s="537" t="str">
        <f>IF(AND($G24=Lists!$D$41,$D24=AZ$7),$F24,"")</f>
        <v/>
      </c>
      <c r="BA24" s="537" t="str">
        <f>IF(AND($G24=Lists!$D$41,$D24=BA$7),$F24,"")</f>
        <v/>
      </c>
      <c r="BB24" s="537" t="str">
        <f>IF(AND($G24=Lists!$D$41,$D24=BB$7),$F24,"")</f>
        <v/>
      </c>
      <c r="BC24" s="537" t="str">
        <f>IF(AND($G24=Lists!$D$41,$D24=BC$7),$F24,"")</f>
        <v/>
      </c>
      <c r="BD24" s="537" t="str">
        <f>IF(AND($G24=Lists!$D$41,$D24=BD$7),$F24,"")</f>
        <v/>
      </c>
      <c r="BE24" s="537" t="str">
        <f>IF(AND($G24=Lists!$D$41,$D24=BE$7),$F24,"")</f>
        <v/>
      </c>
      <c r="BF24" s="537">
        <f>IF(AND($G24=Lists!$D$41,$D24=BF$7),$F24,"")</f>
        <v>0</v>
      </c>
      <c r="BG24" s="537" t="str">
        <f>IF(AND($G24=Lists!$D$41,$D24=BG$7),$F24,"")</f>
        <v/>
      </c>
      <c r="BH24" s="537" t="str">
        <f>IF(AND($G24=Lists!$D$41,$D24=BH$7),$F24,"")</f>
        <v/>
      </c>
      <c r="BI24" s="537" t="str">
        <f>IF(AND($G24=Lists!$D$41,$D24=BI$7),$F24,"")</f>
        <v/>
      </c>
      <c r="BJ24" s="537" t="str">
        <f>IF(AND($G24=Lists!$D$41,$D24=BJ$7),$F24,"")</f>
        <v/>
      </c>
      <c r="BK24" s="537" t="str">
        <f>IF(AND($G24=Lists!$D$41,$D24=BK$7),$F24,"")</f>
        <v/>
      </c>
      <c r="BL24" s="537" t="str">
        <f>IF(AND($G24=Lists!$D$41,$D24=BL$7),$F24,"")</f>
        <v/>
      </c>
      <c r="BM24" s="537" t="str">
        <f>IF(AND($G24=Lists!$D$41,$D24=BM$7),$F24,"")</f>
        <v/>
      </c>
      <c r="BN24" s="537" t="str">
        <f>IF(AND($G24=Lists!$D$41,$D24=BN$7),$F24,"")</f>
        <v/>
      </c>
      <c r="BO24" s="537" t="str">
        <f>IF(AND($G24=Lists!$D$41,$D24=BO$7),$F24,"")</f>
        <v/>
      </c>
      <c r="BP24" s="537" t="str">
        <f>IF(AND($G24=Lists!$D$41,$D24=BP$7),$F24,"")</f>
        <v/>
      </c>
      <c r="BQ24" s="537" t="str">
        <f>IF(AND($G24=Lists!$D$41,$D24=BQ$7),$F24,"")</f>
        <v/>
      </c>
      <c r="BR24" s="537" t="str">
        <f>IF(AND($G24=Lists!$D$41,$D24=BR$7),$F24,"")</f>
        <v/>
      </c>
      <c r="BS24" s="537" t="str">
        <f>IF(AND($G24=Lists!$D$41,$D24=BS$7),$F24,"")</f>
        <v/>
      </c>
      <c r="BT24" s="537" t="str">
        <f>IF(AND($G24=Lists!$D$41,$D24=BT$7),$F24,"")</f>
        <v/>
      </c>
      <c r="BU24" s="537" t="str">
        <f>IF(AND($G24=Lists!$D$41,$D24=BU$7),$F24,"")</f>
        <v/>
      </c>
      <c r="BV24" s="537" t="str">
        <f>IF(AND($G24=Lists!$D$41,$D24=BV$7),$F24,"")</f>
        <v/>
      </c>
      <c r="BW24" s="537" t="str">
        <f>IF(AND($G24=Lists!$D$41,$D24=BW$7),$F24,"")</f>
        <v/>
      </c>
      <c r="BY24" s="537" t="str">
        <f>IF(AND($G24=Lists!$D$42,$D24=BY$7),$F24,"")</f>
        <v/>
      </c>
      <c r="BZ24" s="537" t="str">
        <f>IF(AND($G24=Lists!$D$42,$D24=BZ$7),$F24,"")</f>
        <v/>
      </c>
      <c r="CA24" s="537" t="str">
        <f>IF(AND($G24=Lists!$D$42,$D24=CA$7),$F24,"")</f>
        <v/>
      </c>
      <c r="CB24" s="537" t="str">
        <f>IF(AND($G24=Lists!$D$42,$D24=CB$7),$F24,"")</f>
        <v/>
      </c>
      <c r="CC24" s="537" t="str">
        <f>IF(AND($G24=Lists!$D$42,$D24=CC$7),$F24,"")</f>
        <v/>
      </c>
      <c r="CD24" s="537" t="str">
        <f>IF(AND($G24=Lists!$D$42,$D24=CD$7),$F24,"")</f>
        <v/>
      </c>
      <c r="CE24" s="537" t="str">
        <f>IF(AND($G24=Lists!$D$42,$D24=CE$7),$F24,"")</f>
        <v/>
      </c>
      <c r="CF24" s="537" t="str">
        <f>IF(AND($G24=Lists!$D$42,$D24=CF$7),$F24,"")</f>
        <v/>
      </c>
      <c r="CG24" s="537" t="str">
        <f>IF(AND($G24=Lists!$D$42,$D24=CG$7),$F24,"")</f>
        <v/>
      </c>
      <c r="CH24" s="537" t="str">
        <f>IF(AND($G24=Lists!$D$42,$D24=CH$7),$F24,"")</f>
        <v/>
      </c>
      <c r="CI24" s="537" t="str">
        <f>IF(AND($G24=Lists!$D$42,$D24=CI$7),$F24,"")</f>
        <v/>
      </c>
      <c r="CJ24" s="537" t="str">
        <f>IF(AND($G24=Lists!$D$42,$D24=CJ$7),$F24,"")</f>
        <v/>
      </c>
      <c r="CK24" s="537" t="str">
        <f>IF(AND($G24=Lists!$D$42,$D24=CK$7),$F24,"")</f>
        <v/>
      </c>
      <c r="CL24" s="537" t="str">
        <f>IF(AND($G24=Lists!$D$42,$D24=CL$7),$F24,"")</f>
        <v/>
      </c>
      <c r="CM24" s="537" t="str">
        <f>IF(AND($G24=Lists!$D$42,$D24=CM$7),$F24,"")</f>
        <v/>
      </c>
      <c r="CN24" s="537" t="str">
        <f>IF(AND($G24=Lists!$D$42,$D24=CN$7),$F24,"")</f>
        <v/>
      </c>
      <c r="CO24" s="537" t="str">
        <f>IF(AND($G24=Lists!$D$42,$D24=CO$7),$F24,"")</f>
        <v/>
      </c>
      <c r="CP24" s="537" t="str">
        <f>IF(AND($G24=Lists!$D$42,$D24=CP$7),$F24,"")</f>
        <v/>
      </c>
      <c r="CQ24" s="537" t="str">
        <f>IF(AND($G24=Lists!$D$42,$D24=CQ$7),$F24,"")</f>
        <v/>
      </c>
      <c r="CR24" s="537" t="str">
        <f>IF(AND($G24=Lists!$D$42,$D24=CR$7),$F24,"")</f>
        <v/>
      </c>
      <c r="CS24" s="537" t="str">
        <f>IF(AND($G24=Lists!$D$42,$D24=CS$7),$F24,"")</f>
        <v/>
      </c>
      <c r="CT24" s="537" t="str">
        <f>IF(AND($G24=Lists!$D$42,$D24=CT$7),$F24,"")</f>
        <v/>
      </c>
      <c r="CU24" s="537" t="str">
        <f>IF(AND($G24=Lists!$D$42,$D24=CU$7),$F24,"")</f>
        <v/>
      </c>
      <c r="CV24" s="537" t="str">
        <f>IF(AND($G24=Lists!$D$42,$D24=CV$7),$F24,"")</f>
        <v/>
      </c>
      <c r="CW24" s="537" t="str">
        <f>IF(AND($G24=Lists!$D$42,$D24=CW$7),$F24,"")</f>
        <v/>
      </c>
      <c r="CX24" s="537" t="str">
        <f>IF(AND($G24=Lists!$D$42,$D24=CX$7),$F24,"")</f>
        <v/>
      </c>
      <c r="CY24" s="537" t="str">
        <f>IF(AND($G24=Lists!$D$42,$D24=CY$7),$F24,"")</f>
        <v/>
      </c>
      <c r="CZ24" s="537" t="str">
        <f>IF(AND($G24=Lists!$D$42,$D24=CZ$7),$F24,"")</f>
        <v/>
      </c>
      <c r="DA24" s="537" t="str">
        <f>IF(AND($G24=Lists!$D$42,$D24=DA$7),$F24,"")</f>
        <v/>
      </c>
      <c r="DB24" s="537" t="str">
        <f>IF(AND($G24=Lists!$D$42,$D24=DB$7),$F24,"")</f>
        <v/>
      </c>
      <c r="DC24" s="537"/>
      <c r="DD24" s="537"/>
      <c r="DE24" s="537" t="str">
        <f>IF(AND($G24=Lists!$D$42,$D24=DE$7),$F24,"")</f>
        <v/>
      </c>
    </row>
    <row r="25" spans="1:109">
      <c r="A25" s="532"/>
      <c r="B25" s="137"/>
      <c r="C25" s="139"/>
      <c r="D25" s="120" t="s">
        <v>1795</v>
      </c>
      <c r="E25" s="89"/>
      <c r="F25" s="128"/>
      <c r="G25" s="55" t="s">
        <v>1779</v>
      </c>
      <c r="H25" s="536"/>
      <c r="I25" s="537" t="str">
        <f t="shared" si="19"/>
        <v/>
      </c>
      <c r="J25" s="537" t="str">
        <f t="shared" si="19"/>
        <v/>
      </c>
      <c r="K25" s="537" t="str">
        <f t="shared" si="19"/>
        <v/>
      </c>
      <c r="L25" s="537" t="str">
        <f t="shared" si="17"/>
        <v/>
      </c>
      <c r="M25" s="537" t="str">
        <f t="shared" si="17"/>
        <v/>
      </c>
      <c r="N25" s="537" t="str">
        <f t="shared" si="19"/>
        <v/>
      </c>
      <c r="O25" s="537" t="str">
        <f t="shared" si="19"/>
        <v/>
      </c>
      <c r="P25" s="537" t="str">
        <f t="shared" si="19"/>
        <v/>
      </c>
      <c r="Q25" s="537" t="str">
        <f t="shared" si="19"/>
        <v/>
      </c>
      <c r="R25" s="537" t="str">
        <f t="shared" si="19"/>
        <v/>
      </c>
      <c r="S25" s="537" t="str">
        <f t="shared" si="19"/>
        <v/>
      </c>
      <c r="T25" s="537" t="str">
        <f t="shared" si="19"/>
        <v/>
      </c>
      <c r="U25" s="537" t="str">
        <f t="shared" si="19"/>
        <v/>
      </c>
      <c r="V25" s="537" t="str">
        <f t="shared" si="19"/>
        <v/>
      </c>
      <c r="W25" s="537" t="str">
        <f t="shared" si="19"/>
        <v/>
      </c>
      <c r="X25" s="537" t="str">
        <f t="shared" si="19"/>
        <v/>
      </c>
      <c r="Y25" s="537">
        <f t="shared" si="19"/>
        <v>0</v>
      </c>
      <c r="Z25" s="537" t="str">
        <f t="shared" si="19"/>
        <v/>
      </c>
      <c r="AA25" s="537" t="str">
        <f t="shared" si="20"/>
        <v/>
      </c>
      <c r="AB25" s="537" t="str">
        <f t="shared" si="20"/>
        <v/>
      </c>
      <c r="AC25" s="537" t="str">
        <f t="shared" si="20"/>
        <v/>
      </c>
      <c r="AD25" s="537" t="str">
        <f t="shared" si="20"/>
        <v/>
      </c>
      <c r="AE25" s="537" t="str">
        <f t="shared" si="18"/>
        <v/>
      </c>
      <c r="AF25" s="537" t="str">
        <f t="shared" si="20"/>
        <v/>
      </c>
      <c r="AG25" s="537" t="str">
        <f t="shared" si="20"/>
        <v/>
      </c>
      <c r="AH25" s="537" t="str">
        <f t="shared" si="20"/>
        <v/>
      </c>
      <c r="AI25" s="537" t="str">
        <f t="shared" si="20"/>
        <v/>
      </c>
      <c r="AJ25" s="537" t="str">
        <f t="shared" si="20"/>
        <v/>
      </c>
      <c r="AK25" s="537" t="str">
        <f t="shared" si="20"/>
        <v/>
      </c>
      <c r="AL25" s="537" t="str">
        <f t="shared" si="20"/>
        <v/>
      </c>
      <c r="AM25" s="537" t="str">
        <f t="shared" si="20"/>
        <v/>
      </c>
      <c r="AN25" s="537" t="str">
        <f t="shared" si="20"/>
        <v/>
      </c>
      <c r="AO25" s="537" t="str">
        <f t="shared" si="20"/>
        <v/>
      </c>
      <c r="AQ25" s="537" t="str">
        <f>IF(AND($G25=Lists!$D$41,$D25=AQ$7),$F25,"")</f>
        <v/>
      </c>
      <c r="AR25" s="537" t="str">
        <f>IF(AND($G25=Lists!$D$41,$D25=AR$7),$F25,"")</f>
        <v/>
      </c>
      <c r="AS25" s="537" t="str">
        <f>IF(AND($G25=Lists!$D$41,$D25=AS$7),$F25,"")</f>
        <v/>
      </c>
      <c r="AT25" s="537" t="str">
        <f>IF(AND($G25=Lists!$D$41,$D25=AT$7),$F25,"")</f>
        <v/>
      </c>
      <c r="AU25" s="537" t="str">
        <f>IF(AND($G25=Lists!$D$41,$D25=AU$7),$F25,"")</f>
        <v/>
      </c>
      <c r="AV25" s="537" t="str">
        <f>IF(AND($G25=Lists!$D$41,$D25=AV$7),$F25,"")</f>
        <v/>
      </c>
      <c r="AW25" s="537" t="str">
        <f>IF(AND($G25=Lists!$D$41,$D25=AW$7),$F25,"")</f>
        <v/>
      </c>
      <c r="AX25" s="537" t="str">
        <f>IF(AND($G25=Lists!$D$41,$D25=AX$7),$F25,"")</f>
        <v/>
      </c>
      <c r="AY25" s="537" t="str">
        <f>IF(AND($G25=Lists!$D$41,$D25=AY$7),$F25,"")</f>
        <v/>
      </c>
      <c r="AZ25" s="537" t="str">
        <f>IF(AND($G25=Lists!$D$41,$D25=AZ$7),$F25,"")</f>
        <v/>
      </c>
      <c r="BA25" s="537" t="str">
        <f>IF(AND($G25=Lists!$D$41,$D25=BA$7),$F25,"")</f>
        <v/>
      </c>
      <c r="BB25" s="537" t="str">
        <f>IF(AND($G25=Lists!$D$41,$D25=BB$7),$F25,"")</f>
        <v/>
      </c>
      <c r="BC25" s="537" t="str">
        <f>IF(AND($G25=Lists!$D$41,$D25=BC$7),$F25,"")</f>
        <v/>
      </c>
      <c r="BD25" s="537" t="str">
        <f>IF(AND($G25=Lists!$D$41,$D25=BD$7),$F25,"")</f>
        <v/>
      </c>
      <c r="BE25" s="537" t="str">
        <f>IF(AND($G25=Lists!$D$41,$D25=BE$7),$F25,"")</f>
        <v/>
      </c>
      <c r="BF25" s="537" t="str">
        <f>IF(AND($G25=Lists!$D$41,$D25=BF$7),$F25,"")</f>
        <v/>
      </c>
      <c r="BG25" s="537">
        <f>IF(AND($G25=Lists!$D$41,$D25=BG$7),$F25,"")</f>
        <v>0</v>
      </c>
      <c r="BH25" s="537" t="str">
        <f>IF(AND($G25=Lists!$D$41,$D25=BH$7),$F25,"")</f>
        <v/>
      </c>
      <c r="BI25" s="537" t="str">
        <f>IF(AND($G25=Lists!$D$41,$D25=BI$7),$F25,"")</f>
        <v/>
      </c>
      <c r="BJ25" s="537" t="str">
        <f>IF(AND($G25=Lists!$D$41,$D25=BJ$7),$F25,"")</f>
        <v/>
      </c>
      <c r="BK25" s="537" t="str">
        <f>IF(AND($G25=Lists!$D$41,$D25=BK$7),$F25,"")</f>
        <v/>
      </c>
      <c r="BL25" s="537" t="str">
        <f>IF(AND($G25=Lists!$D$41,$D25=BL$7),$F25,"")</f>
        <v/>
      </c>
      <c r="BM25" s="537" t="str">
        <f>IF(AND($G25=Lists!$D$41,$D25=BM$7),$F25,"")</f>
        <v/>
      </c>
      <c r="BN25" s="537" t="str">
        <f>IF(AND($G25=Lists!$D$41,$D25=BN$7),$F25,"")</f>
        <v/>
      </c>
      <c r="BO25" s="537" t="str">
        <f>IF(AND($G25=Lists!$D$41,$D25=BO$7),$F25,"")</f>
        <v/>
      </c>
      <c r="BP25" s="537" t="str">
        <f>IF(AND($G25=Lists!$D$41,$D25=BP$7),$F25,"")</f>
        <v/>
      </c>
      <c r="BQ25" s="537" t="str">
        <f>IF(AND($G25=Lists!$D$41,$D25=BQ$7),$F25,"")</f>
        <v/>
      </c>
      <c r="BR25" s="537" t="str">
        <f>IF(AND($G25=Lists!$D$41,$D25=BR$7),$F25,"")</f>
        <v/>
      </c>
      <c r="BS25" s="537" t="str">
        <f>IF(AND($G25=Lists!$D$41,$D25=BS$7),$F25,"")</f>
        <v/>
      </c>
      <c r="BT25" s="537" t="str">
        <f>IF(AND($G25=Lists!$D$41,$D25=BT$7),$F25,"")</f>
        <v/>
      </c>
      <c r="BU25" s="537" t="str">
        <f>IF(AND($G25=Lists!$D$41,$D25=BU$7),$F25,"")</f>
        <v/>
      </c>
      <c r="BV25" s="537" t="str">
        <f>IF(AND($G25=Lists!$D$41,$D25=BV$7),$F25,"")</f>
        <v/>
      </c>
      <c r="BW25" s="537" t="str">
        <f>IF(AND($G25=Lists!$D$41,$D25=BW$7),$F25,"")</f>
        <v/>
      </c>
      <c r="BY25" s="537" t="str">
        <f>IF(AND($G25=Lists!$D$42,$D25=BY$7),$F25,"")</f>
        <v/>
      </c>
      <c r="BZ25" s="537" t="str">
        <f>IF(AND($G25=Lists!$D$42,$D25=BZ$7),$F25,"")</f>
        <v/>
      </c>
      <c r="CA25" s="537" t="str">
        <f>IF(AND($G25=Lists!$D$42,$D25=CA$7),$F25,"")</f>
        <v/>
      </c>
      <c r="CB25" s="537" t="str">
        <f>IF(AND($G25=Lists!$D$42,$D25=CB$7),$F25,"")</f>
        <v/>
      </c>
      <c r="CC25" s="537" t="str">
        <f>IF(AND($G25=Lists!$D$42,$D25=CC$7),$F25,"")</f>
        <v/>
      </c>
      <c r="CD25" s="537" t="str">
        <f>IF(AND($G25=Lists!$D$42,$D25=CD$7),$F25,"")</f>
        <v/>
      </c>
      <c r="CE25" s="537" t="str">
        <f>IF(AND($G25=Lists!$D$42,$D25=CE$7),$F25,"")</f>
        <v/>
      </c>
      <c r="CF25" s="537" t="str">
        <f>IF(AND($G25=Lists!$D$42,$D25=CF$7),$F25,"")</f>
        <v/>
      </c>
      <c r="CG25" s="537" t="str">
        <f>IF(AND($G25=Lists!$D$42,$D25=CG$7),$F25,"")</f>
        <v/>
      </c>
      <c r="CH25" s="537" t="str">
        <f>IF(AND($G25=Lists!$D$42,$D25=CH$7),$F25,"")</f>
        <v/>
      </c>
      <c r="CI25" s="537" t="str">
        <f>IF(AND($G25=Lists!$D$42,$D25=CI$7),$F25,"")</f>
        <v/>
      </c>
      <c r="CJ25" s="537" t="str">
        <f>IF(AND($G25=Lists!$D$42,$D25=CJ$7),$F25,"")</f>
        <v/>
      </c>
      <c r="CK25" s="537" t="str">
        <f>IF(AND($G25=Lists!$D$42,$D25=CK$7),$F25,"")</f>
        <v/>
      </c>
      <c r="CL25" s="537" t="str">
        <f>IF(AND($G25=Lists!$D$42,$D25=CL$7),$F25,"")</f>
        <v/>
      </c>
      <c r="CM25" s="537" t="str">
        <f>IF(AND($G25=Lists!$D$42,$D25=CM$7),$F25,"")</f>
        <v/>
      </c>
      <c r="CN25" s="537" t="str">
        <f>IF(AND($G25=Lists!$D$42,$D25=CN$7),$F25,"")</f>
        <v/>
      </c>
      <c r="CO25" s="537" t="str">
        <f>IF(AND($G25=Lists!$D$42,$D25=CO$7),$F25,"")</f>
        <v/>
      </c>
      <c r="CP25" s="537" t="str">
        <f>IF(AND($G25=Lists!$D$42,$D25=CP$7),$F25,"")</f>
        <v/>
      </c>
      <c r="CQ25" s="537" t="str">
        <f>IF(AND($G25=Lists!$D$42,$D25=CQ$7),$F25,"")</f>
        <v/>
      </c>
      <c r="CR25" s="537" t="str">
        <f>IF(AND($G25=Lists!$D$42,$D25=CR$7),$F25,"")</f>
        <v/>
      </c>
      <c r="CS25" s="537" t="str">
        <f>IF(AND($G25=Lists!$D$42,$D25=CS$7),$F25,"")</f>
        <v/>
      </c>
      <c r="CT25" s="537" t="str">
        <f>IF(AND($G25=Lists!$D$42,$D25=CT$7),$F25,"")</f>
        <v/>
      </c>
      <c r="CU25" s="537" t="str">
        <f>IF(AND($G25=Lists!$D$42,$D25=CU$7),$F25,"")</f>
        <v/>
      </c>
      <c r="CV25" s="537" t="str">
        <f>IF(AND($G25=Lists!$D$42,$D25=CV$7),$F25,"")</f>
        <v/>
      </c>
      <c r="CW25" s="537" t="str">
        <f>IF(AND($G25=Lists!$D$42,$D25=CW$7),$F25,"")</f>
        <v/>
      </c>
      <c r="CX25" s="537" t="str">
        <f>IF(AND($G25=Lists!$D$42,$D25=CX$7),$F25,"")</f>
        <v/>
      </c>
      <c r="CY25" s="537" t="str">
        <f>IF(AND($G25=Lists!$D$42,$D25=CY$7),$F25,"")</f>
        <v/>
      </c>
      <c r="CZ25" s="537" t="str">
        <f>IF(AND($G25=Lists!$D$42,$D25=CZ$7),$F25,"")</f>
        <v/>
      </c>
      <c r="DA25" s="537" t="str">
        <f>IF(AND($G25=Lists!$D$42,$D25=DA$7),$F25,"")</f>
        <v/>
      </c>
      <c r="DB25" s="537" t="str">
        <f>IF(AND($G25=Lists!$D$42,$D25=DB$7),$F25,"")</f>
        <v/>
      </c>
      <c r="DC25" s="537"/>
      <c r="DD25" s="537"/>
      <c r="DE25" s="537" t="str">
        <f>IF(AND($G25=Lists!$D$42,$D25=DE$7),$F25,"")</f>
        <v/>
      </c>
    </row>
    <row r="26" spans="1:109">
      <c r="A26" s="532"/>
      <c r="B26" s="137"/>
      <c r="C26" s="139"/>
      <c r="D26" s="120" t="s">
        <v>1796</v>
      </c>
      <c r="E26" s="89"/>
      <c r="F26" s="128"/>
      <c r="G26" s="55" t="s">
        <v>1779</v>
      </c>
      <c r="H26" s="536"/>
      <c r="I26" s="537" t="str">
        <f t="shared" si="19"/>
        <v/>
      </c>
      <c r="J26" s="537" t="str">
        <f t="shared" si="19"/>
        <v/>
      </c>
      <c r="K26" s="537" t="str">
        <f t="shared" si="19"/>
        <v/>
      </c>
      <c r="L26" s="537" t="str">
        <f t="shared" si="17"/>
        <v/>
      </c>
      <c r="M26" s="537" t="str">
        <f t="shared" si="17"/>
        <v/>
      </c>
      <c r="N26" s="537" t="str">
        <f t="shared" si="19"/>
        <v/>
      </c>
      <c r="O26" s="537" t="str">
        <f t="shared" si="19"/>
        <v/>
      </c>
      <c r="P26" s="537" t="str">
        <f t="shared" si="19"/>
        <v/>
      </c>
      <c r="Q26" s="537" t="str">
        <f t="shared" si="19"/>
        <v/>
      </c>
      <c r="R26" s="537" t="str">
        <f t="shared" si="19"/>
        <v/>
      </c>
      <c r="S26" s="537" t="str">
        <f t="shared" si="19"/>
        <v/>
      </c>
      <c r="T26" s="537" t="str">
        <f t="shared" si="19"/>
        <v/>
      </c>
      <c r="U26" s="537" t="str">
        <f t="shared" si="19"/>
        <v/>
      </c>
      <c r="V26" s="537" t="str">
        <f t="shared" si="19"/>
        <v/>
      </c>
      <c r="W26" s="537" t="str">
        <f t="shared" si="19"/>
        <v/>
      </c>
      <c r="X26" s="537" t="str">
        <f t="shared" si="19"/>
        <v/>
      </c>
      <c r="Y26" s="537" t="str">
        <f t="shared" si="19"/>
        <v/>
      </c>
      <c r="Z26" s="537">
        <f t="shared" si="19"/>
        <v>0</v>
      </c>
      <c r="AA26" s="537" t="str">
        <f t="shared" si="20"/>
        <v/>
      </c>
      <c r="AB26" s="537" t="str">
        <f t="shared" si="20"/>
        <v/>
      </c>
      <c r="AC26" s="537" t="str">
        <f t="shared" si="20"/>
        <v/>
      </c>
      <c r="AD26" s="537" t="str">
        <f t="shared" si="20"/>
        <v/>
      </c>
      <c r="AE26" s="537" t="str">
        <f t="shared" si="18"/>
        <v/>
      </c>
      <c r="AF26" s="537" t="str">
        <f t="shared" si="20"/>
        <v/>
      </c>
      <c r="AG26" s="537" t="str">
        <f t="shared" si="20"/>
        <v/>
      </c>
      <c r="AH26" s="537" t="str">
        <f t="shared" si="20"/>
        <v/>
      </c>
      <c r="AI26" s="537" t="str">
        <f t="shared" si="20"/>
        <v/>
      </c>
      <c r="AJ26" s="537" t="str">
        <f t="shared" si="20"/>
        <v/>
      </c>
      <c r="AK26" s="537" t="str">
        <f t="shared" si="20"/>
        <v/>
      </c>
      <c r="AL26" s="537" t="str">
        <f t="shared" si="20"/>
        <v/>
      </c>
      <c r="AM26" s="537" t="str">
        <f t="shared" si="20"/>
        <v/>
      </c>
      <c r="AN26" s="537" t="str">
        <f t="shared" si="20"/>
        <v/>
      </c>
      <c r="AO26" s="537" t="str">
        <f t="shared" si="20"/>
        <v/>
      </c>
      <c r="AQ26" s="537" t="str">
        <f>IF(AND($G26=Lists!$D$41,$D26=AQ$7),$F26,"")</f>
        <v/>
      </c>
      <c r="AR26" s="537" t="str">
        <f>IF(AND($G26=Lists!$D$41,$D26=AR$7),$F26,"")</f>
        <v/>
      </c>
      <c r="AS26" s="537" t="str">
        <f>IF(AND($G26=Lists!$D$41,$D26=AS$7),$F26,"")</f>
        <v/>
      </c>
      <c r="AT26" s="537" t="str">
        <f>IF(AND($G26=Lists!$D$41,$D26=AT$7),$F26,"")</f>
        <v/>
      </c>
      <c r="AU26" s="537" t="str">
        <f>IF(AND($G26=Lists!$D$41,$D26=AU$7),$F26,"")</f>
        <v/>
      </c>
      <c r="AV26" s="537" t="str">
        <f>IF(AND($G26=Lists!$D$41,$D26=AV$7),$F26,"")</f>
        <v/>
      </c>
      <c r="AW26" s="537" t="str">
        <f>IF(AND($G26=Lists!$D$41,$D26=AW$7),$F26,"")</f>
        <v/>
      </c>
      <c r="AX26" s="537" t="str">
        <f>IF(AND($G26=Lists!$D$41,$D26=AX$7),$F26,"")</f>
        <v/>
      </c>
      <c r="AY26" s="537" t="str">
        <f>IF(AND($G26=Lists!$D$41,$D26=AY$7),$F26,"")</f>
        <v/>
      </c>
      <c r="AZ26" s="537" t="str">
        <f>IF(AND($G26=Lists!$D$41,$D26=AZ$7),$F26,"")</f>
        <v/>
      </c>
      <c r="BA26" s="537" t="str">
        <f>IF(AND($G26=Lists!$D$41,$D26=BA$7),$F26,"")</f>
        <v/>
      </c>
      <c r="BB26" s="537" t="str">
        <f>IF(AND($G26=Lists!$D$41,$D26=BB$7),$F26,"")</f>
        <v/>
      </c>
      <c r="BC26" s="537" t="str">
        <f>IF(AND($G26=Lists!$D$41,$D26=BC$7),$F26,"")</f>
        <v/>
      </c>
      <c r="BD26" s="537" t="str">
        <f>IF(AND($G26=Lists!$D$41,$D26=BD$7),$F26,"")</f>
        <v/>
      </c>
      <c r="BE26" s="537" t="str">
        <f>IF(AND($G26=Lists!$D$41,$D26=BE$7),$F26,"")</f>
        <v/>
      </c>
      <c r="BF26" s="537" t="str">
        <f>IF(AND($G26=Lists!$D$41,$D26=BF$7),$F26,"")</f>
        <v/>
      </c>
      <c r="BG26" s="537" t="str">
        <f>IF(AND($G26=Lists!$D$41,$D26=BG$7),$F26,"")</f>
        <v/>
      </c>
      <c r="BH26" s="537">
        <f>IF(AND($G26=Lists!$D$41,$D26=BH$7),$F26,"")</f>
        <v>0</v>
      </c>
      <c r="BI26" s="537" t="str">
        <f>IF(AND($G26=Lists!$D$41,$D26=BI$7),$F26,"")</f>
        <v/>
      </c>
      <c r="BJ26" s="537" t="str">
        <f>IF(AND($G26=Lists!$D$41,$D26=BJ$7),$F26,"")</f>
        <v/>
      </c>
      <c r="BK26" s="537" t="str">
        <f>IF(AND($G26=Lists!$D$41,$D26=BK$7),$F26,"")</f>
        <v/>
      </c>
      <c r="BL26" s="537" t="str">
        <f>IF(AND($G26=Lists!$D$41,$D26=BL$7),$F26,"")</f>
        <v/>
      </c>
      <c r="BM26" s="537" t="str">
        <f>IF(AND($G26=Lists!$D$41,$D26=BM$7),$F26,"")</f>
        <v/>
      </c>
      <c r="BN26" s="537" t="str">
        <f>IF(AND($G26=Lists!$D$41,$D26=BN$7),$F26,"")</f>
        <v/>
      </c>
      <c r="BO26" s="537" t="str">
        <f>IF(AND($G26=Lists!$D$41,$D26=BO$7),$F26,"")</f>
        <v/>
      </c>
      <c r="BP26" s="537" t="str">
        <f>IF(AND($G26=Lists!$D$41,$D26=BP$7),$F26,"")</f>
        <v/>
      </c>
      <c r="BQ26" s="537" t="str">
        <f>IF(AND($G26=Lists!$D$41,$D26=BQ$7),$F26,"")</f>
        <v/>
      </c>
      <c r="BR26" s="537" t="str">
        <f>IF(AND($G26=Lists!$D$41,$D26=BR$7),$F26,"")</f>
        <v/>
      </c>
      <c r="BS26" s="537" t="str">
        <f>IF(AND($G26=Lists!$D$41,$D26=BS$7),$F26,"")</f>
        <v/>
      </c>
      <c r="BT26" s="537" t="str">
        <f>IF(AND($G26=Lists!$D$41,$D26=BT$7),$F26,"")</f>
        <v/>
      </c>
      <c r="BU26" s="537" t="str">
        <f>IF(AND($G26=Lists!$D$41,$D26=BU$7),$F26,"")</f>
        <v/>
      </c>
      <c r="BV26" s="537" t="str">
        <f>IF(AND($G26=Lists!$D$41,$D26=BV$7),$F26,"")</f>
        <v/>
      </c>
      <c r="BW26" s="537" t="str">
        <f>IF(AND($G26=Lists!$D$41,$D26=BW$7),$F26,"")</f>
        <v/>
      </c>
      <c r="BY26" s="537" t="str">
        <f>IF(AND($G26=Lists!$D$42,$D26=BY$7),$F26,"")</f>
        <v/>
      </c>
      <c r="BZ26" s="537" t="str">
        <f>IF(AND($G26=Lists!$D$42,$D26=BZ$7),$F26,"")</f>
        <v/>
      </c>
      <c r="CA26" s="537" t="str">
        <f>IF(AND($G26=Lists!$D$42,$D26=CA$7),$F26,"")</f>
        <v/>
      </c>
      <c r="CB26" s="537" t="str">
        <f>IF(AND($G26=Lists!$D$42,$D26=CB$7),$F26,"")</f>
        <v/>
      </c>
      <c r="CC26" s="537" t="str">
        <f>IF(AND($G26=Lists!$D$42,$D26=CC$7),$F26,"")</f>
        <v/>
      </c>
      <c r="CD26" s="537" t="str">
        <f>IF(AND($G26=Lists!$D$42,$D26=CD$7),$F26,"")</f>
        <v/>
      </c>
      <c r="CE26" s="537" t="str">
        <f>IF(AND($G26=Lists!$D$42,$D26=CE$7),$F26,"")</f>
        <v/>
      </c>
      <c r="CF26" s="537" t="str">
        <f>IF(AND($G26=Lists!$D$42,$D26=CF$7),$F26,"")</f>
        <v/>
      </c>
      <c r="CG26" s="537" t="str">
        <f>IF(AND($G26=Lists!$D$42,$D26=CG$7),$F26,"")</f>
        <v/>
      </c>
      <c r="CH26" s="537" t="str">
        <f>IF(AND($G26=Lists!$D$42,$D26=CH$7),$F26,"")</f>
        <v/>
      </c>
      <c r="CI26" s="537" t="str">
        <f>IF(AND($G26=Lists!$D$42,$D26=CI$7),$F26,"")</f>
        <v/>
      </c>
      <c r="CJ26" s="537" t="str">
        <f>IF(AND($G26=Lists!$D$42,$D26=CJ$7),$F26,"")</f>
        <v/>
      </c>
      <c r="CK26" s="537" t="str">
        <f>IF(AND($G26=Lists!$D$42,$D26=CK$7),$F26,"")</f>
        <v/>
      </c>
      <c r="CL26" s="537" t="str">
        <f>IF(AND($G26=Lists!$D$42,$D26=CL$7),$F26,"")</f>
        <v/>
      </c>
      <c r="CM26" s="537" t="str">
        <f>IF(AND($G26=Lists!$D$42,$D26=CM$7),$F26,"")</f>
        <v/>
      </c>
      <c r="CN26" s="537" t="str">
        <f>IF(AND($G26=Lists!$D$42,$D26=CN$7),$F26,"")</f>
        <v/>
      </c>
      <c r="CO26" s="537" t="str">
        <f>IF(AND($G26=Lists!$D$42,$D26=CO$7),$F26,"")</f>
        <v/>
      </c>
      <c r="CP26" s="537" t="str">
        <f>IF(AND($G26=Lists!$D$42,$D26=CP$7),$F26,"")</f>
        <v/>
      </c>
      <c r="CQ26" s="537" t="str">
        <f>IF(AND($G26=Lists!$D$42,$D26=CQ$7),$F26,"")</f>
        <v/>
      </c>
      <c r="CR26" s="537" t="str">
        <f>IF(AND($G26=Lists!$D$42,$D26=CR$7),$F26,"")</f>
        <v/>
      </c>
      <c r="CS26" s="537" t="str">
        <f>IF(AND($G26=Lists!$D$42,$D26=CS$7),$F26,"")</f>
        <v/>
      </c>
      <c r="CT26" s="537" t="str">
        <f>IF(AND($G26=Lists!$D$42,$D26=CT$7),$F26,"")</f>
        <v/>
      </c>
      <c r="CU26" s="537" t="str">
        <f>IF(AND($G26=Lists!$D$42,$D26=CU$7),$F26,"")</f>
        <v/>
      </c>
      <c r="CV26" s="537" t="str">
        <f>IF(AND($G26=Lists!$D$42,$D26=CV$7),$F26,"")</f>
        <v/>
      </c>
      <c r="CW26" s="537" t="str">
        <f>IF(AND($G26=Lists!$D$42,$D26=CW$7),$F26,"")</f>
        <v/>
      </c>
      <c r="CX26" s="537" t="str">
        <f>IF(AND($G26=Lists!$D$42,$D26=CX$7),$F26,"")</f>
        <v/>
      </c>
      <c r="CY26" s="537" t="str">
        <f>IF(AND($G26=Lists!$D$42,$D26=CY$7),$F26,"")</f>
        <v/>
      </c>
      <c r="CZ26" s="537" t="str">
        <f>IF(AND($G26=Lists!$D$42,$D26=CZ$7),$F26,"")</f>
        <v/>
      </c>
      <c r="DA26" s="537" t="str">
        <f>IF(AND($G26=Lists!$D$42,$D26=DA$7),$F26,"")</f>
        <v/>
      </c>
      <c r="DB26" s="537" t="str">
        <f>IF(AND($G26=Lists!$D$42,$D26=DB$7),$F26,"")</f>
        <v/>
      </c>
      <c r="DC26" s="537"/>
      <c r="DD26" s="537"/>
      <c r="DE26" s="537" t="str">
        <f>IF(AND($G26=Lists!$D$42,$D26=DE$7),$F26,"")</f>
        <v/>
      </c>
    </row>
    <row r="27" spans="1:109">
      <c r="A27" s="532"/>
      <c r="B27" s="137"/>
      <c r="C27" s="139"/>
      <c r="D27" s="120" t="s">
        <v>1797</v>
      </c>
      <c r="E27" s="89"/>
      <c r="F27" s="128"/>
      <c r="G27" s="55" t="s">
        <v>1779</v>
      </c>
      <c r="H27" s="536"/>
      <c r="I27" s="537" t="str">
        <f t="shared" si="19"/>
        <v/>
      </c>
      <c r="J27" s="537" t="str">
        <f t="shared" si="19"/>
        <v/>
      </c>
      <c r="K27" s="537" t="str">
        <f t="shared" si="19"/>
        <v/>
      </c>
      <c r="L27" s="537" t="str">
        <f t="shared" si="17"/>
        <v/>
      </c>
      <c r="M27" s="537" t="str">
        <f t="shared" si="17"/>
        <v/>
      </c>
      <c r="N27" s="537" t="str">
        <f t="shared" si="19"/>
        <v/>
      </c>
      <c r="O27" s="537" t="str">
        <f t="shared" si="19"/>
        <v/>
      </c>
      <c r="P27" s="537" t="str">
        <f t="shared" si="19"/>
        <v/>
      </c>
      <c r="Q27" s="537" t="str">
        <f t="shared" si="19"/>
        <v/>
      </c>
      <c r="R27" s="537" t="str">
        <f t="shared" si="19"/>
        <v/>
      </c>
      <c r="S27" s="537" t="str">
        <f t="shared" si="19"/>
        <v/>
      </c>
      <c r="T27" s="537" t="str">
        <f t="shared" si="19"/>
        <v/>
      </c>
      <c r="U27" s="537" t="str">
        <f t="shared" si="19"/>
        <v/>
      </c>
      <c r="V27" s="537" t="str">
        <f t="shared" si="19"/>
        <v/>
      </c>
      <c r="W27" s="537" t="str">
        <f t="shared" si="19"/>
        <v/>
      </c>
      <c r="X27" s="537" t="str">
        <f t="shared" si="19"/>
        <v/>
      </c>
      <c r="Y27" s="537" t="str">
        <f t="shared" si="19"/>
        <v/>
      </c>
      <c r="Z27" s="537" t="str">
        <f t="shared" si="19"/>
        <v/>
      </c>
      <c r="AA27" s="537">
        <f t="shared" si="20"/>
        <v>0</v>
      </c>
      <c r="AB27" s="537" t="str">
        <f t="shared" si="20"/>
        <v/>
      </c>
      <c r="AC27" s="537" t="str">
        <f t="shared" si="20"/>
        <v/>
      </c>
      <c r="AD27" s="537" t="str">
        <f t="shared" si="20"/>
        <v/>
      </c>
      <c r="AE27" s="537" t="str">
        <f t="shared" si="18"/>
        <v/>
      </c>
      <c r="AF27" s="537" t="str">
        <f t="shared" si="20"/>
        <v/>
      </c>
      <c r="AG27" s="537" t="str">
        <f t="shared" si="20"/>
        <v/>
      </c>
      <c r="AH27" s="537" t="str">
        <f t="shared" si="20"/>
        <v/>
      </c>
      <c r="AI27" s="537" t="str">
        <f t="shared" si="20"/>
        <v/>
      </c>
      <c r="AJ27" s="537" t="str">
        <f t="shared" si="20"/>
        <v/>
      </c>
      <c r="AK27" s="537" t="str">
        <f t="shared" si="20"/>
        <v/>
      </c>
      <c r="AL27" s="537" t="str">
        <f t="shared" si="20"/>
        <v/>
      </c>
      <c r="AM27" s="537" t="str">
        <f t="shared" si="20"/>
        <v/>
      </c>
      <c r="AN27" s="537" t="str">
        <f t="shared" si="20"/>
        <v/>
      </c>
      <c r="AO27" s="537" t="str">
        <f t="shared" si="20"/>
        <v/>
      </c>
      <c r="AQ27" s="537" t="str">
        <f>IF(AND($G27=Lists!$D$41,$D27=AQ$7),$F27,"")</f>
        <v/>
      </c>
      <c r="AR27" s="537" t="str">
        <f>IF(AND($G27=Lists!$D$41,$D27=AR$7),$F27,"")</f>
        <v/>
      </c>
      <c r="AS27" s="537" t="str">
        <f>IF(AND($G27=Lists!$D$41,$D27=AS$7),$F27,"")</f>
        <v/>
      </c>
      <c r="AT27" s="537" t="str">
        <f>IF(AND($G27=Lists!$D$41,$D27=AT$7),$F27,"")</f>
        <v/>
      </c>
      <c r="AU27" s="537" t="str">
        <f>IF(AND($G27=Lists!$D$41,$D27=AU$7),$F27,"")</f>
        <v/>
      </c>
      <c r="AV27" s="537" t="str">
        <f>IF(AND($G27=Lists!$D$41,$D27=AV$7),$F27,"")</f>
        <v/>
      </c>
      <c r="AW27" s="537" t="str">
        <f>IF(AND($G27=Lists!$D$41,$D27=AW$7),$F27,"")</f>
        <v/>
      </c>
      <c r="AX27" s="537" t="str">
        <f>IF(AND($G27=Lists!$D$41,$D27=AX$7),$F27,"")</f>
        <v/>
      </c>
      <c r="AY27" s="537" t="str">
        <f>IF(AND($G27=Lists!$D$41,$D27=AY$7),$F27,"")</f>
        <v/>
      </c>
      <c r="AZ27" s="537" t="str">
        <f>IF(AND($G27=Lists!$D$41,$D27=AZ$7),$F27,"")</f>
        <v/>
      </c>
      <c r="BA27" s="537" t="str">
        <f>IF(AND($G27=Lists!$D$41,$D27=BA$7),$F27,"")</f>
        <v/>
      </c>
      <c r="BB27" s="537" t="str">
        <f>IF(AND($G27=Lists!$D$41,$D27=BB$7),$F27,"")</f>
        <v/>
      </c>
      <c r="BC27" s="537" t="str">
        <f>IF(AND($G27=Lists!$D$41,$D27=BC$7),$F27,"")</f>
        <v/>
      </c>
      <c r="BD27" s="537" t="str">
        <f>IF(AND($G27=Lists!$D$41,$D27=BD$7),$F27,"")</f>
        <v/>
      </c>
      <c r="BE27" s="537" t="str">
        <f>IF(AND($G27=Lists!$D$41,$D27=BE$7),$F27,"")</f>
        <v/>
      </c>
      <c r="BF27" s="537" t="str">
        <f>IF(AND($G27=Lists!$D$41,$D27=BF$7),$F27,"")</f>
        <v/>
      </c>
      <c r="BG27" s="537" t="str">
        <f>IF(AND($G27=Lists!$D$41,$D27=BG$7),$F27,"")</f>
        <v/>
      </c>
      <c r="BH27" s="537" t="str">
        <f>IF(AND($G27=Lists!$D$41,$D27=BH$7),$F27,"")</f>
        <v/>
      </c>
      <c r="BI27" s="537">
        <f>IF(AND($G27=Lists!$D$41,$D27=BI$7),$F27,"")</f>
        <v>0</v>
      </c>
      <c r="BJ27" s="537" t="str">
        <f>IF(AND($G27=Lists!$D$41,$D27=BJ$7),$F27,"")</f>
        <v/>
      </c>
      <c r="BK27" s="537" t="str">
        <f>IF(AND($G27=Lists!$D$41,$D27=BK$7),$F27,"")</f>
        <v/>
      </c>
      <c r="BL27" s="537" t="str">
        <f>IF(AND($G27=Lists!$D$41,$D27=BL$7),$F27,"")</f>
        <v/>
      </c>
      <c r="BM27" s="537" t="str">
        <f>IF(AND($G27=Lists!$D$41,$D27=BM$7),$F27,"")</f>
        <v/>
      </c>
      <c r="BN27" s="537" t="str">
        <f>IF(AND($G27=Lists!$D$41,$D27=BN$7),$F27,"")</f>
        <v/>
      </c>
      <c r="BO27" s="537" t="str">
        <f>IF(AND($G27=Lists!$D$41,$D27=BO$7),$F27,"")</f>
        <v/>
      </c>
      <c r="BP27" s="537" t="str">
        <f>IF(AND($G27=Lists!$D$41,$D27=BP$7),$F27,"")</f>
        <v/>
      </c>
      <c r="BQ27" s="537" t="str">
        <f>IF(AND($G27=Lists!$D$41,$D27=BQ$7),$F27,"")</f>
        <v/>
      </c>
      <c r="BR27" s="537" t="str">
        <f>IF(AND($G27=Lists!$D$41,$D27=BR$7),$F27,"")</f>
        <v/>
      </c>
      <c r="BS27" s="537" t="str">
        <f>IF(AND($G27=Lists!$D$41,$D27=BS$7),$F27,"")</f>
        <v/>
      </c>
      <c r="BT27" s="537" t="str">
        <f>IF(AND($G27=Lists!$D$41,$D27=BT$7),$F27,"")</f>
        <v/>
      </c>
      <c r="BU27" s="537" t="str">
        <f>IF(AND($G27=Lists!$D$41,$D27=BU$7),$F27,"")</f>
        <v/>
      </c>
      <c r="BV27" s="537" t="str">
        <f>IF(AND($G27=Lists!$D$41,$D27=BV$7),$F27,"")</f>
        <v/>
      </c>
      <c r="BW27" s="537" t="str">
        <f>IF(AND($G27=Lists!$D$41,$D27=BW$7),$F27,"")</f>
        <v/>
      </c>
      <c r="BY27" s="537" t="str">
        <f>IF(AND($G27=Lists!$D$42,$D27=BY$7),$F27,"")</f>
        <v/>
      </c>
      <c r="BZ27" s="537" t="str">
        <f>IF(AND($G27=Lists!$D$42,$D27=BZ$7),$F27,"")</f>
        <v/>
      </c>
      <c r="CA27" s="537" t="str">
        <f>IF(AND($G27=Lists!$D$42,$D27=CA$7),$F27,"")</f>
        <v/>
      </c>
      <c r="CB27" s="537" t="str">
        <f>IF(AND($G27=Lists!$D$42,$D27=CB$7),$F27,"")</f>
        <v/>
      </c>
      <c r="CC27" s="537" t="str">
        <f>IF(AND($G27=Lists!$D$42,$D27=CC$7),$F27,"")</f>
        <v/>
      </c>
      <c r="CD27" s="537" t="str">
        <f>IF(AND($G27=Lists!$D$42,$D27=CD$7),$F27,"")</f>
        <v/>
      </c>
      <c r="CE27" s="537" t="str">
        <f>IF(AND($G27=Lists!$D$42,$D27=CE$7),$F27,"")</f>
        <v/>
      </c>
      <c r="CF27" s="537" t="str">
        <f>IF(AND($G27=Lists!$D$42,$D27=CF$7),$F27,"")</f>
        <v/>
      </c>
      <c r="CG27" s="537" t="str">
        <f>IF(AND($G27=Lists!$D$42,$D27=CG$7),$F27,"")</f>
        <v/>
      </c>
      <c r="CH27" s="537" t="str">
        <f>IF(AND($G27=Lists!$D$42,$D27=CH$7),$F27,"")</f>
        <v/>
      </c>
      <c r="CI27" s="537" t="str">
        <f>IF(AND($G27=Lists!$D$42,$D27=CI$7),$F27,"")</f>
        <v/>
      </c>
      <c r="CJ27" s="537" t="str">
        <f>IF(AND($G27=Lists!$D$42,$D27=CJ$7),$F27,"")</f>
        <v/>
      </c>
      <c r="CK27" s="537" t="str">
        <f>IF(AND($G27=Lists!$D$42,$D27=CK$7),$F27,"")</f>
        <v/>
      </c>
      <c r="CL27" s="537" t="str">
        <f>IF(AND($G27=Lists!$D$42,$D27=CL$7),$F27,"")</f>
        <v/>
      </c>
      <c r="CM27" s="537" t="str">
        <f>IF(AND($G27=Lists!$D$42,$D27=CM$7),$F27,"")</f>
        <v/>
      </c>
      <c r="CN27" s="537" t="str">
        <f>IF(AND($G27=Lists!$D$42,$D27=CN$7),$F27,"")</f>
        <v/>
      </c>
      <c r="CO27" s="537" t="str">
        <f>IF(AND($G27=Lists!$D$42,$D27=CO$7),$F27,"")</f>
        <v/>
      </c>
      <c r="CP27" s="537" t="str">
        <f>IF(AND($G27=Lists!$D$42,$D27=CP$7),$F27,"")</f>
        <v/>
      </c>
      <c r="CQ27" s="537" t="str">
        <f>IF(AND($G27=Lists!$D$42,$D27=CQ$7),$F27,"")</f>
        <v/>
      </c>
      <c r="CR27" s="537" t="str">
        <f>IF(AND($G27=Lists!$D$42,$D27=CR$7),$F27,"")</f>
        <v/>
      </c>
      <c r="CS27" s="537" t="str">
        <f>IF(AND($G27=Lists!$D$42,$D27=CS$7),$F27,"")</f>
        <v/>
      </c>
      <c r="CT27" s="537" t="str">
        <f>IF(AND($G27=Lists!$D$42,$D27=CT$7),$F27,"")</f>
        <v/>
      </c>
      <c r="CU27" s="537" t="str">
        <f>IF(AND($G27=Lists!$D$42,$D27=CU$7),$F27,"")</f>
        <v/>
      </c>
      <c r="CV27" s="537" t="str">
        <f>IF(AND($G27=Lists!$D$42,$D27=CV$7),$F27,"")</f>
        <v/>
      </c>
      <c r="CW27" s="537" t="str">
        <f>IF(AND($G27=Lists!$D$42,$D27=CW$7),$F27,"")</f>
        <v/>
      </c>
      <c r="CX27" s="537" t="str">
        <f>IF(AND($G27=Lists!$D$42,$D27=CX$7),$F27,"")</f>
        <v/>
      </c>
      <c r="CY27" s="537" t="str">
        <f>IF(AND($G27=Lists!$D$42,$D27=CY$7),$F27,"")</f>
        <v/>
      </c>
      <c r="CZ27" s="537" t="str">
        <f>IF(AND($G27=Lists!$D$42,$D27=CZ$7),$F27,"")</f>
        <v/>
      </c>
      <c r="DA27" s="537" t="str">
        <f>IF(AND($G27=Lists!$D$42,$D27=DA$7),$F27,"")</f>
        <v/>
      </c>
      <c r="DB27" s="537" t="str">
        <f>IF(AND($G27=Lists!$D$42,$D27=DB$7),$F27,"")</f>
        <v/>
      </c>
      <c r="DC27" s="537"/>
      <c r="DD27" s="537"/>
      <c r="DE27" s="537" t="str">
        <f>IF(AND($G27=Lists!$D$42,$D27=DE$7),$F27,"")</f>
        <v/>
      </c>
    </row>
    <row r="28" spans="1:109">
      <c r="A28" s="532"/>
      <c r="B28" s="137"/>
      <c r="C28" s="139"/>
      <c r="D28" s="120" t="s">
        <v>1798</v>
      </c>
      <c r="E28" s="89"/>
      <c r="F28" s="128"/>
      <c r="G28" s="55" t="s">
        <v>1779</v>
      </c>
      <c r="H28" s="536"/>
      <c r="I28" s="537" t="str">
        <f t="shared" si="19"/>
        <v/>
      </c>
      <c r="J28" s="537" t="str">
        <f t="shared" si="19"/>
        <v/>
      </c>
      <c r="K28" s="537" t="str">
        <f t="shared" si="19"/>
        <v/>
      </c>
      <c r="L28" s="537" t="str">
        <f t="shared" si="17"/>
        <v/>
      </c>
      <c r="M28" s="537" t="str">
        <f t="shared" si="17"/>
        <v/>
      </c>
      <c r="N28" s="537" t="str">
        <f t="shared" si="19"/>
        <v/>
      </c>
      <c r="O28" s="537" t="str">
        <f t="shared" si="19"/>
        <v/>
      </c>
      <c r="P28" s="537" t="str">
        <f t="shared" si="19"/>
        <v/>
      </c>
      <c r="Q28" s="537" t="str">
        <f t="shared" si="19"/>
        <v/>
      </c>
      <c r="R28" s="537" t="str">
        <f t="shared" si="19"/>
        <v/>
      </c>
      <c r="S28" s="537" t="str">
        <f t="shared" si="19"/>
        <v/>
      </c>
      <c r="T28" s="537" t="str">
        <f t="shared" si="19"/>
        <v/>
      </c>
      <c r="U28" s="537" t="str">
        <f t="shared" si="19"/>
        <v/>
      </c>
      <c r="V28" s="537" t="str">
        <f t="shared" si="19"/>
        <v/>
      </c>
      <c r="W28" s="537" t="str">
        <f t="shared" si="19"/>
        <v/>
      </c>
      <c r="X28" s="537" t="str">
        <f t="shared" si="19"/>
        <v/>
      </c>
      <c r="Y28" s="537" t="str">
        <f t="shared" si="19"/>
        <v/>
      </c>
      <c r="Z28" s="537" t="str">
        <f t="shared" si="19"/>
        <v/>
      </c>
      <c r="AA28" s="537" t="str">
        <f t="shared" si="20"/>
        <v/>
      </c>
      <c r="AB28" s="537">
        <f t="shared" si="20"/>
        <v>0</v>
      </c>
      <c r="AC28" s="537" t="str">
        <f t="shared" si="20"/>
        <v/>
      </c>
      <c r="AD28" s="537" t="str">
        <f t="shared" si="20"/>
        <v/>
      </c>
      <c r="AE28" s="537" t="str">
        <f t="shared" si="18"/>
        <v/>
      </c>
      <c r="AF28" s="537" t="str">
        <f t="shared" si="20"/>
        <v/>
      </c>
      <c r="AG28" s="537" t="str">
        <f t="shared" si="20"/>
        <v/>
      </c>
      <c r="AH28" s="537" t="str">
        <f t="shared" si="20"/>
        <v/>
      </c>
      <c r="AI28" s="537" t="str">
        <f t="shared" si="20"/>
        <v/>
      </c>
      <c r="AJ28" s="537" t="str">
        <f t="shared" si="20"/>
        <v/>
      </c>
      <c r="AK28" s="537" t="str">
        <f t="shared" si="20"/>
        <v/>
      </c>
      <c r="AL28" s="537" t="str">
        <f t="shared" si="20"/>
        <v/>
      </c>
      <c r="AM28" s="537" t="str">
        <f t="shared" si="20"/>
        <v/>
      </c>
      <c r="AN28" s="537" t="str">
        <f t="shared" si="20"/>
        <v/>
      </c>
      <c r="AO28" s="537" t="str">
        <f t="shared" si="20"/>
        <v/>
      </c>
      <c r="AQ28" s="537" t="str">
        <f>IF(AND($G28=Lists!$D$41,$D28=AQ$7),$F28,"")</f>
        <v/>
      </c>
      <c r="AR28" s="537" t="str">
        <f>IF(AND($G28=Lists!$D$41,$D28=AR$7),$F28,"")</f>
        <v/>
      </c>
      <c r="AS28" s="537" t="str">
        <f>IF(AND($G28=Lists!$D$41,$D28=AS$7),$F28,"")</f>
        <v/>
      </c>
      <c r="AT28" s="537" t="str">
        <f>IF(AND($G28=Lists!$D$41,$D28=AT$7),$F28,"")</f>
        <v/>
      </c>
      <c r="AU28" s="537" t="str">
        <f>IF(AND($G28=Lists!$D$41,$D28=AU$7),$F28,"")</f>
        <v/>
      </c>
      <c r="AV28" s="537" t="str">
        <f>IF(AND($G28=Lists!$D$41,$D28=AV$7),$F28,"")</f>
        <v/>
      </c>
      <c r="AW28" s="537" t="str">
        <f>IF(AND($G28=Lists!$D$41,$D28=AW$7),$F28,"")</f>
        <v/>
      </c>
      <c r="AX28" s="537" t="str">
        <f>IF(AND($G28=Lists!$D$41,$D28=AX$7),$F28,"")</f>
        <v/>
      </c>
      <c r="AY28" s="537" t="str">
        <f>IF(AND($G28=Lists!$D$41,$D28=AY$7),$F28,"")</f>
        <v/>
      </c>
      <c r="AZ28" s="537" t="str">
        <f>IF(AND($G28=Lists!$D$41,$D28=AZ$7),$F28,"")</f>
        <v/>
      </c>
      <c r="BA28" s="537" t="str">
        <f>IF(AND($G28=Lists!$D$41,$D28=BA$7),$F28,"")</f>
        <v/>
      </c>
      <c r="BB28" s="537" t="str">
        <f>IF(AND($G28=Lists!$D$41,$D28=BB$7),$F28,"")</f>
        <v/>
      </c>
      <c r="BC28" s="537" t="str">
        <f>IF(AND($G28=Lists!$D$41,$D28=BC$7),$F28,"")</f>
        <v/>
      </c>
      <c r="BD28" s="537" t="str">
        <f>IF(AND($G28=Lists!$D$41,$D28=BD$7),$F28,"")</f>
        <v/>
      </c>
      <c r="BE28" s="537" t="str">
        <f>IF(AND($G28=Lists!$D$41,$D28=BE$7),$F28,"")</f>
        <v/>
      </c>
      <c r="BF28" s="537" t="str">
        <f>IF(AND($G28=Lists!$D$41,$D28=BF$7),$F28,"")</f>
        <v/>
      </c>
      <c r="BG28" s="537" t="str">
        <f>IF(AND($G28=Lists!$D$41,$D28=BG$7),$F28,"")</f>
        <v/>
      </c>
      <c r="BH28" s="537" t="str">
        <f>IF(AND($G28=Lists!$D$41,$D28=BH$7),$F28,"")</f>
        <v/>
      </c>
      <c r="BI28" s="537" t="str">
        <f>IF(AND($G28=Lists!$D$41,$D28=BI$7),$F28,"")</f>
        <v/>
      </c>
      <c r="BJ28" s="537">
        <f>IF(AND($G28=Lists!$D$41,$D28=BJ$7),$F28,"")</f>
        <v>0</v>
      </c>
      <c r="BK28" s="537" t="str">
        <f>IF(AND($G28=Lists!$D$41,$D28=BK$7),$F28,"")</f>
        <v/>
      </c>
      <c r="BL28" s="537" t="str">
        <f>IF(AND($G28=Lists!$D$41,$D28=BL$7),$F28,"")</f>
        <v/>
      </c>
      <c r="BM28" s="537" t="str">
        <f>IF(AND($G28=Lists!$D$41,$D28=BM$7),$F28,"")</f>
        <v/>
      </c>
      <c r="BN28" s="537" t="str">
        <f>IF(AND($G28=Lists!$D$41,$D28=BN$7),$F28,"")</f>
        <v/>
      </c>
      <c r="BO28" s="537" t="str">
        <f>IF(AND($G28=Lists!$D$41,$D28=BO$7),$F28,"")</f>
        <v/>
      </c>
      <c r="BP28" s="537" t="str">
        <f>IF(AND($G28=Lists!$D$41,$D28=BP$7),$F28,"")</f>
        <v/>
      </c>
      <c r="BQ28" s="537" t="str">
        <f>IF(AND($G28=Lists!$D$41,$D28=BQ$7),$F28,"")</f>
        <v/>
      </c>
      <c r="BR28" s="537" t="str">
        <f>IF(AND($G28=Lists!$D$41,$D28=BR$7),$F28,"")</f>
        <v/>
      </c>
      <c r="BS28" s="537" t="str">
        <f>IF(AND($G28=Lists!$D$41,$D28=BS$7),$F28,"")</f>
        <v/>
      </c>
      <c r="BT28" s="537" t="str">
        <f>IF(AND($G28=Lists!$D$41,$D28=BT$7),$F28,"")</f>
        <v/>
      </c>
      <c r="BU28" s="537" t="str">
        <f>IF(AND($G28=Lists!$D$41,$D28=BU$7),$F28,"")</f>
        <v/>
      </c>
      <c r="BV28" s="537" t="str">
        <f>IF(AND($G28=Lists!$D$41,$D28=BV$7),$F28,"")</f>
        <v/>
      </c>
      <c r="BW28" s="537" t="str">
        <f>IF(AND($G28=Lists!$D$41,$D28=BW$7),$F28,"")</f>
        <v/>
      </c>
      <c r="BY28" s="537" t="str">
        <f>IF(AND($G28=Lists!$D$42,$D28=BY$7),$F28,"")</f>
        <v/>
      </c>
      <c r="BZ28" s="537" t="str">
        <f>IF(AND($G28=Lists!$D$42,$D28=BZ$7),$F28,"")</f>
        <v/>
      </c>
      <c r="CA28" s="537" t="str">
        <f>IF(AND($G28=Lists!$D$42,$D28=CA$7),$F28,"")</f>
        <v/>
      </c>
      <c r="CB28" s="537" t="str">
        <f>IF(AND($G28=Lists!$D$42,$D28=CB$7),$F28,"")</f>
        <v/>
      </c>
      <c r="CC28" s="537" t="str">
        <f>IF(AND($G28=Lists!$D$42,$D28=CC$7),$F28,"")</f>
        <v/>
      </c>
      <c r="CD28" s="537" t="str">
        <f>IF(AND($G28=Lists!$D$42,$D28=CD$7),$F28,"")</f>
        <v/>
      </c>
      <c r="CE28" s="537" t="str">
        <f>IF(AND($G28=Lists!$D$42,$D28=CE$7),$F28,"")</f>
        <v/>
      </c>
      <c r="CF28" s="537" t="str">
        <f>IF(AND($G28=Lists!$D$42,$D28=CF$7),$F28,"")</f>
        <v/>
      </c>
      <c r="CG28" s="537" t="str">
        <f>IF(AND($G28=Lists!$D$42,$D28=CG$7),$F28,"")</f>
        <v/>
      </c>
      <c r="CH28" s="537" t="str">
        <f>IF(AND($G28=Lists!$D$42,$D28=CH$7),$F28,"")</f>
        <v/>
      </c>
      <c r="CI28" s="537" t="str">
        <f>IF(AND($G28=Lists!$D$42,$D28=CI$7),$F28,"")</f>
        <v/>
      </c>
      <c r="CJ28" s="537" t="str">
        <f>IF(AND($G28=Lists!$D$42,$D28=CJ$7),$F28,"")</f>
        <v/>
      </c>
      <c r="CK28" s="537" t="str">
        <f>IF(AND($G28=Lists!$D$42,$D28=CK$7),$F28,"")</f>
        <v/>
      </c>
      <c r="CL28" s="537" t="str">
        <f>IF(AND($G28=Lists!$D$42,$D28=CL$7),$F28,"")</f>
        <v/>
      </c>
      <c r="CM28" s="537" t="str">
        <f>IF(AND($G28=Lists!$D$42,$D28=CM$7),$F28,"")</f>
        <v/>
      </c>
      <c r="CN28" s="537" t="str">
        <f>IF(AND($G28=Lists!$D$42,$D28=CN$7),$F28,"")</f>
        <v/>
      </c>
      <c r="CO28" s="537" t="str">
        <f>IF(AND($G28=Lists!$D$42,$D28=CO$7),$F28,"")</f>
        <v/>
      </c>
      <c r="CP28" s="537" t="str">
        <f>IF(AND($G28=Lists!$D$42,$D28=CP$7),$F28,"")</f>
        <v/>
      </c>
      <c r="CQ28" s="537" t="str">
        <f>IF(AND($G28=Lists!$D$42,$D28=CQ$7),$F28,"")</f>
        <v/>
      </c>
      <c r="CR28" s="537" t="str">
        <f>IF(AND($G28=Lists!$D$42,$D28=CR$7),$F28,"")</f>
        <v/>
      </c>
      <c r="CS28" s="537" t="str">
        <f>IF(AND($G28=Lists!$D$42,$D28=CS$7),$F28,"")</f>
        <v/>
      </c>
      <c r="CT28" s="537" t="str">
        <f>IF(AND($G28=Lists!$D$42,$D28=CT$7),$F28,"")</f>
        <v/>
      </c>
      <c r="CU28" s="537" t="str">
        <f>IF(AND($G28=Lists!$D$42,$D28=CU$7),$F28,"")</f>
        <v/>
      </c>
      <c r="CV28" s="537" t="str">
        <f>IF(AND($G28=Lists!$D$42,$D28=CV$7),$F28,"")</f>
        <v/>
      </c>
      <c r="CW28" s="537" t="str">
        <f>IF(AND($G28=Lists!$D$42,$D28=CW$7),$F28,"")</f>
        <v/>
      </c>
      <c r="CX28" s="537" t="str">
        <f>IF(AND($G28=Lists!$D$42,$D28=CX$7),$F28,"")</f>
        <v/>
      </c>
      <c r="CY28" s="537" t="str">
        <f>IF(AND($G28=Lists!$D$42,$D28=CY$7),$F28,"")</f>
        <v/>
      </c>
      <c r="CZ28" s="537" t="str">
        <f>IF(AND($G28=Lists!$D$42,$D28=CZ$7),$F28,"")</f>
        <v/>
      </c>
      <c r="DA28" s="537" t="str">
        <f>IF(AND($G28=Lists!$D$42,$D28=DA$7),$F28,"")</f>
        <v/>
      </c>
      <c r="DB28" s="537" t="str">
        <f>IF(AND($G28=Lists!$D$42,$D28=DB$7),$F28,"")</f>
        <v/>
      </c>
      <c r="DC28" s="537"/>
      <c r="DD28" s="537"/>
      <c r="DE28" s="537" t="str">
        <f>IF(AND($G28=Lists!$D$42,$D28=DE$7),$F28,"")</f>
        <v/>
      </c>
    </row>
    <row r="29" spans="1:109">
      <c r="A29" s="532"/>
      <c r="B29" s="137"/>
      <c r="C29" s="139"/>
      <c r="D29" s="120" t="s">
        <v>1799</v>
      </c>
      <c r="E29" s="89"/>
      <c r="F29" s="128"/>
      <c r="G29" s="55" t="s">
        <v>1779</v>
      </c>
      <c r="H29" s="536"/>
      <c r="I29" s="537" t="str">
        <f t="shared" si="19"/>
        <v/>
      </c>
      <c r="J29" s="537" t="str">
        <f t="shared" si="19"/>
        <v/>
      </c>
      <c r="K29" s="537" t="str">
        <f t="shared" si="19"/>
        <v/>
      </c>
      <c r="L29" s="537" t="str">
        <f t="shared" si="17"/>
        <v/>
      </c>
      <c r="M29" s="537" t="str">
        <f t="shared" si="17"/>
        <v/>
      </c>
      <c r="N29" s="537" t="str">
        <f t="shared" si="19"/>
        <v/>
      </c>
      <c r="O29" s="537" t="str">
        <f t="shared" si="19"/>
        <v/>
      </c>
      <c r="P29" s="537" t="str">
        <f t="shared" si="19"/>
        <v/>
      </c>
      <c r="Q29" s="537" t="str">
        <f t="shared" si="19"/>
        <v/>
      </c>
      <c r="R29" s="537" t="str">
        <f t="shared" si="19"/>
        <v/>
      </c>
      <c r="S29" s="537" t="str">
        <f t="shared" si="19"/>
        <v/>
      </c>
      <c r="T29" s="537" t="str">
        <f t="shared" si="19"/>
        <v/>
      </c>
      <c r="U29" s="537" t="str">
        <f t="shared" si="19"/>
        <v/>
      </c>
      <c r="V29" s="537" t="str">
        <f t="shared" si="19"/>
        <v/>
      </c>
      <c r="W29" s="537" t="str">
        <f t="shared" si="19"/>
        <v/>
      </c>
      <c r="X29" s="537" t="str">
        <f t="shared" si="19"/>
        <v/>
      </c>
      <c r="Y29" s="537" t="str">
        <f t="shared" si="19"/>
        <v/>
      </c>
      <c r="Z29" s="537" t="str">
        <f t="shared" si="19"/>
        <v/>
      </c>
      <c r="AA29" s="537" t="str">
        <f t="shared" si="20"/>
        <v/>
      </c>
      <c r="AB29" s="537" t="str">
        <f t="shared" si="20"/>
        <v/>
      </c>
      <c r="AC29" s="537">
        <f t="shared" si="20"/>
        <v>0</v>
      </c>
      <c r="AD29" s="537" t="str">
        <f t="shared" si="20"/>
        <v/>
      </c>
      <c r="AE29" s="537" t="str">
        <f t="shared" si="18"/>
        <v/>
      </c>
      <c r="AF29" s="537" t="str">
        <f t="shared" si="20"/>
        <v/>
      </c>
      <c r="AG29" s="537" t="str">
        <f t="shared" si="20"/>
        <v/>
      </c>
      <c r="AH29" s="537" t="str">
        <f t="shared" si="20"/>
        <v/>
      </c>
      <c r="AI29" s="537" t="str">
        <f t="shared" si="20"/>
        <v/>
      </c>
      <c r="AJ29" s="537" t="str">
        <f t="shared" si="20"/>
        <v/>
      </c>
      <c r="AK29" s="537" t="str">
        <f t="shared" si="20"/>
        <v/>
      </c>
      <c r="AL29" s="537" t="str">
        <f t="shared" si="20"/>
        <v/>
      </c>
      <c r="AM29" s="537" t="str">
        <f t="shared" si="20"/>
        <v/>
      </c>
      <c r="AN29" s="537" t="str">
        <f t="shared" si="20"/>
        <v/>
      </c>
      <c r="AO29" s="537" t="str">
        <f t="shared" si="20"/>
        <v/>
      </c>
      <c r="AQ29" s="537" t="str">
        <f>IF(AND($G29=Lists!$D$41,$D29=AQ$7),$F29,"")</f>
        <v/>
      </c>
      <c r="AR29" s="537" t="str">
        <f>IF(AND($G29=Lists!$D$41,$D29=AR$7),$F29,"")</f>
        <v/>
      </c>
      <c r="AS29" s="537" t="str">
        <f>IF(AND($G29=Lists!$D$41,$D29=AS$7),$F29,"")</f>
        <v/>
      </c>
      <c r="AT29" s="537" t="str">
        <f>IF(AND($G29=Lists!$D$41,$D29=AT$7),$F29,"")</f>
        <v/>
      </c>
      <c r="AU29" s="537" t="str">
        <f>IF(AND($G29=Lists!$D$41,$D29=AU$7),$F29,"")</f>
        <v/>
      </c>
      <c r="AV29" s="537" t="str">
        <f>IF(AND($G29=Lists!$D$41,$D29=AV$7),$F29,"")</f>
        <v/>
      </c>
      <c r="AW29" s="537" t="str">
        <f>IF(AND($G29=Lists!$D$41,$D29=AW$7),$F29,"")</f>
        <v/>
      </c>
      <c r="AX29" s="537" t="str">
        <f>IF(AND($G29=Lists!$D$41,$D29=AX$7),$F29,"")</f>
        <v/>
      </c>
      <c r="AY29" s="537" t="str">
        <f>IF(AND($G29=Lists!$D$41,$D29=AY$7),$F29,"")</f>
        <v/>
      </c>
      <c r="AZ29" s="537" t="str">
        <f>IF(AND($G29=Lists!$D$41,$D29=AZ$7),$F29,"")</f>
        <v/>
      </c>
      <c r="BA29" s="537" t="str">
        <f>IF(AND($G29=Lists!$D$41,$D29=BA$7),$F29,"")</f>
        <v/>
      </c>
      <c r="BB29" s="537" t="str">
        <f>IF(AND($G29=Lists!$D$41,$D29=BB$7),$F29,"")</f>
        <v/>
      </c>
      <c r="BC29" s="537" t="str">
        <f>IF(AND($G29=Lists!$D$41,$D29=BC$7),$F29,"")</f>
        <v/>
      </c>
      <c r="BD29" s="537" t="str">
        <f>IF(AND($G29=Lists!$D$41,$D29=BD$7),$F29,"")</f>
        <v/>
      </c>
      <c r="BE29" s="537" t="str">
        <f>IF(AND($G29=Lists!$D$41,$D29=BE$7),$F29,"")</f>
        <v/>
      </c>
      <c r="BF29" s="537" t="str">
        <f>IF(AND($G29=Lists!$D$41,$D29=BF$7),$F29,"")</f>
        <v/>
      </c>
      <c r="BG29" s="537" t="str">
        <f>IF(AND($G29=Lists!$D$41,$D29=BG$7),$F29,"")</f>
        <v/>
      </c>
      <c r="BH29" s="537" t="str">
        <f>IF(AND($G29=Lists!$D$41,$D29=BH$7),$F29,"")</f>
        <v/>
      </c>
      <c r="BI29" s="537" t="str">
        <f>IF(AND($G29=Lists!$D$41,$D29=BI$7),$F29,"")</f>
        <v/>
      </c>
      <c r="BJ29" s="537" t="str">
        <f>IF(AND($G29=Lists!$D$41,$D29=BJ$7),$F29,"")</f>
        <v/>
      </c>
      <c r="BK29" s="537">
        <f>IF(AND($G29=Lists!$D$41,$D29=BK$7),$F29,"")</f>
        <v>0</v>
      </c>
      <c r="BL29" s="537" t="str">
        <f>IF(AND($G29=Lists!$D$41,$D29=BL$7),$F29,"")</f>
        <v/>
      </c>
      <c r="BM29" s="537" t="str">
        <f>IF(AND($G29=Lists!$D$41,$D29=BM$7),$F29,"")</f>
        <v/>
      </c>
      <c r="BN29" s="537" t="str">
        <f>IF(AND($G29=Lists!$D$41,$D29=BN$7),$F29,"")</f>
        <v/>
      </c>
      <c r="BO29" s="537" t="str">
        <f>IF(AND($G29=Lists!$D$41,$D29=BO$7),$F29,"")</f>
        <v/>
      </c>
      <c r="BP29" s="537" t="str">
        <f>IF(AND($G29=Lists!$D$41,$D29=BP$7),$F29,"")</f>
        <v/>
      </c>
      <c r="BQ29" s="537" t="str">
        <f>IF(AND($G29=Lists!$D$41,$D29=BQ$7),$F29,"")</f>
        <v/>
      </c>
      <c r="BR29" s="537" t="str">
        <f>IF(AND($G29=Lists!$D$41,$D29=BR$7),$F29,"")</f>
        <v/>
      </c>
      <c r="BS29" s="537" t="str">
        <f>IF(AND($G29=Lists!$D$41,$D29=BS$7),$F29,"")</f>
        <v/>
      </c>
      <c r="BT29" s="537" t="str">
        <f>IF(AND($G29=Lists!$D$41,$D29=BT$7),$F29,"")</f>
        <v/>
      </c>
      <c r="BU29" s="537" t="str">
        <f>IF(AND($G29=Lists!$D$41,$D29=BU$7),$F29,"")</f>
        <v/>
      </c>
      <c r="BV29" s="537" t="str">
        <f>IF(AND($G29=Lists!$D$41,$D29=BV$7),$F29,"")</f>
        <v/>
      </c>
      <c r="BW29" s="537" t="str">
        <f>IF(AND($G29=Lists!$D$41,$D29=BW$7),$F29,"")</f>
        <v/>
      </c>
      <c r="BY29" s="537" t="str">
        <f>IF(AND($G29=Lists!$D$42,$D29=BY$7),$F29,"")</f>
        <v/>
      </c>
      <c r="BZ29" s="537" t="str">
        <f>IF(AND($G29=Lists!$D$42,$D29=BZ$7),$F29,"")</f>
        <v/>
      </c>
      <c r="CA29" s="537" t="str">
        <f>IF(AND($G29=Lists!$D$42,$D29=CA$7),$F29,"")</f>
        <v/>
      </c>
      <c r="CB29" s="537" t="str">
        <f>IF(AND($G29=Lists!$D$42,$D29=CB$7),$F29,"")</f>
        <v/>
      </c>
      <c r="CC29" s="537" t="str">
        <f>IF(AND($G29=Lists!$D$42,$D29=CC$7),$F29,"")</f>
        <v/>
      </c>
      <c r="CD29" s="537" t="str">
        <f>IF(AND($G29=Lists!$D$42,$D29=CD$7),$F29,"")</f>
        <v/>
      </c>
      <c r="CE29" s="537" t="str">
        <f>IF(AND($G29=Lists!$D$42,$D29=CE$7),$F29,"")</f>
        <v/>
      </c>
      <c r="CF29" s="537" t="str">
        <f>IF(AND($G29=Lists!$D$42,$D29=CF$7),$F29,"")</f>
        <v/>
      </c>
      <c r="CG29" s="537" t="str">
        <f>IF(AND($G29=Lists!$D$42,$D29=CG$7),$F29,"")</f>
        <v/>
      </c>
      <c r="CH29" s="537" t="str">
        <f>IF(AND($G29=Lists!$D$42,$D29=CH$7),$F29,"")</f>
        <v/>
      </c>
      <c r="CI29" s="537" t="str">
        <f>IF(AND($G29=Lists!$D$42,$D29=CI$7),$F29,"")</f>
        <v/>
      </c>
      <c r="CJ29" s="537" t="str">
        <f>IF(AND($G29=Lists!$D$42,$D29=CJ$7),$F29,"")</f>
        <v/>
      </c>
      <c r="CK29" s="537" t="str">
        <f>IF(AND($G29=Lists!$D$42,$D29=CK$7),$F29,"")</f>
        <v/>
      </c>
      <c r="CL29" s="537" t="str">
        <f>IF(AND($G29=Lists!$D$42,$D29=CL$7),$F29,"")</f>
        <v/>
      </c>
      <c r="CM29" s="537" t="str">
        <f>IF(AND($G29=Lists!$D$42,$D29=CM$7),$F29,"")</f>
        <v/>
      </c>
      <c r="CN29" s="537" t="str">
        <f>IF(AND($G29=Lists!$D$42,$D29=CN$7),$F29,"")</f>
        <v/>
      </c>
      <c r="CO29" s="537" t="str">
        <f>IF(AND($G29=Lists!$D$42,$D29=CO$7),$F29,"")</f>
        <v/>
      </c>
      <c r="CP29" s="537" t="str">
        <f>IF(AND($G29=Lists!$D$42,$D29=CP$7),$F29,"")</f>
        <v/>
      </c>
      <c r="CQ29" s="537" t="str">
        <f>IF(AND($G29=Lists!$D$42,$D29=CQ$7),$F29,"")</f>
        <v/>
      </c>
      <c r="CR29" s="537" t="str">
        <f>IF(AND($G29=Lists!$D$42,$D29=CR$7),$F29,"")</f>
        <v/>
      </c>
      <c r="CS29" s="537" t="str">
        <f>IF(AND($G29=Lists!$D$42,$D29=CS$7),$F29,"")</f>
        <v/>
      </c>
      <c r="CT29" s="537" t="str">
        <f>IF(AND($G29=Lists!$D$42,$D29=CT$7),$F29,"")</f>
        <v/>
      </c>
      <c r="CU29" s="537" t="str">
        <f>IF(AND($G29=Lists!$D$42,$D29=CU$7),$F29,"")</f>
        <v/>
      </c>
      <c r="CV29" s="537" t="str">
        <f>IF(AND($G29=Lists!$D$42,$D29=CV$7),$F29,"")</f>
        <v/>
      </c>
      <c r="CW29" s="537" t="str">
        <f>IF(AND($G29=Lists!$D$42,$D29=CW$7),$F29,"")</f>
        <v/>
      </c>
      <c r="CX29" s="537" t="str">
        <f>IF(AND($G29=Lists!$D$42,$D29=CX$7),$F29,"")</f>
        <v/>
      </c>
      <c r="CY29" s="537" t="str">
        <f>IF(AND($G29=Lists!$D$42,$D29=CY$7),$F29,"")</f>
        <v/>
      </c>
      <c r="CZ29" s="537" t="str">
        <f>IF(AND($G29=Lists!$D$42,$D29=CZ$7),$F29,"")</f>
        <v/>
      </c>
      <c r="DA29" s="537" t="str">
        <f>IF(AND($G29=Lists!$D$42,$D29=DA$7),$F29,"")</f>
        <v/>
      </c>
      <c r="DB29" s="537" t="str">
        <f>IF(AND($G29=Lists!$D$42,$D29=DB$7),$F29,"")</f>
        <v/>
      </c>
      <c r="DC29" s="537"/>
      <c r="DD29" s="537"/>
      <c r="DE29" s="537" t="str">
        <f>IF(AND($G29=Lists!$D$42,$D29=DE$7),$F29,"")</f>
        <v/>
      </c>
    </row>
    <row r="30" spans="1:109">
      <c r="A30" s="532"/>
      <c r="B30" s="137"/>
      <c r="C30" s="139"/>
      <c r="D30" s="120" t="s">
        <v>1800</v>
      </c>
      <c r="E30" s="89"/>
      <c r="F30" s="128"/>
      <c r="G30" s="55" t="s">
        <v>1779</v>
      </c>
      <c r="H30" s="536"/>
      <c r="I30" s="537" t="str">
        <f t="shared" si="19"/>
        <v/>
      </c>
      <c r="J30" s="537" t="str">
        <f t="shared" si="19"/>
        <v/>
      </c>
      <c r="K30" s="537" t="str">
        <f t="shared" si="19"/>
        <v/>
      </c>
      <c r="L30" s="537" t="str">
        <f t="shared" si="17"/>
        <v/>
      </c>
      <c r="M30" s="537" t="str">
        <f t="shared" si="17"/>
        <v/>
      </c>
      <c r="N30" s="537" t="str">
        <f t="shared" si="19"/>
        <v/>
      </c>
      <c r="O30" s="537" t="str">
        <f t="shared" si="19"/>
        <v/>
      </c>
      <c r="P30" s="537" t="str">
        <f t="shared" si="19"/>
        <v/>
      </c>
      <c r="Q30" s="537" t="str">
        <f t="shared" si="19"/>
        <v/>
      </c>
      <c r="R30" s="537" t="str">
        <f t="shared" si="19"/>
        <v/>
      </c>
      <c r="S30" s="537" t="str">
        <f t="shared" si="19"/>
        <v/>
      </c>
      <c r="T30" s="537" t="str">
        <f t="shared" si="19"/>
        <v/>
      </c>
      <c r="U30" s="537" t="str">
        <f t="shared" si="19"/>
        <v/>
      </c>
      <c r="V30" s="537" t="str">
        <f t="shared" si="19"/>
        <v/>
      </c>
      <c r="W30" s="537" t="str">
        <f t="shared" si="19"/>
        <v/>
      </c>
      <c r="X30" s="537" t="str">
        <f t="shared" si="19"/>
        <v/>
      </c>
      <c r="Y30" s="537" t="str">
        <f t="shared" si="19"/>
        <v/>
      </c>
      <c r="Z30" s="537" t="str">
        <f t="shared" si="19"/>
        <v/>
      </c>
      <c r="AA30" s="537" t="str">
        <f t="shared" si="20"/>
        <v/>
      </c>
      <c r="AB30" s="537" t="str">
        <f t="shared" si="20"/>
        <v/>
      </c>
      <c r="AC30" s="537" t="str">
        <f t="shared" si="20"/>
        <v/>
      </c>
      <c r="AD30" s="537">
        <f t="shared" si="20"/>
        <v>0</v>
      </c>
      <c r="AE30" s="537" t="str">
        <f t="shared" si="18"/>
        <v/>
      </c>
      <c r="AF30" s="537" t="str">
        <f t="shared" si="20"/>
        <v/>
      </c>
      <c r="AG30" s="537" t="str">
        <f t="shared" si="20"/>
        <v/>
      </c>
      <c r="AH30" s="537" t="str">
        <f t="shared" si="20"/>
        <v/>
      </c>
      <c r="AI30" s="537" t="str">
        <f t="shared" si="20"/>
        <v/>
      </c>
      <c r="AJ30" s="537" t="str">
        <f t="shared" si="20"/>
        <v/>
      </c>
      <c r="AK30" s="537" t="str">
        <f t="shared" si="20"/>
        <v/>
      </c>
      <c r="AL30" s="537" t="str">
        <f t="shared" si="20"/>
        <v/>
      </c>
      <c r="AM30" s="537" t="str">
        <f t="shared" si="20"/>
        <v/>
      </c>
      <c r="AN30" s="537" t="str">
        <f t="shared" si="20"/>
        <v/>
      </c>
      <c r="AO30" s="537" t="str">
        <f t="shared" si="20"/>
        <v/>
      </c>
      <c r="AQ30" s="537" t="str">
        <f>IF(AND($G30=Lists!$D$41,$D30=AQ$7),$F30,"")</f>
        <v/>
      </c>
      <c r="AR30" s="537" t="str">
        <f>IF(AND($G30=Lists!$D$41,$D30=AR$7),$F30,"")</f>
        <v/>
      </c>
      <c r="AS30" s="537" t="str">
        <f>IF(AND($G30=Lists!$D$41,$D30=AS$7),$F30,"")</f>
        <v/>
      </c>
      <c r="AT30" s="537" t="str">
        <f>IF(AND($G30=Lists!$D$41,$D30=AT$7),$F30,"")</f>
        <v/>
      </c>
      <c r="AU30" s="537" t="str">
        <f>IF(AND($G30=Lists!$D$41,$D30=AU$7),$F30,"")</f>
        <v/>
      </c>
      <c r="AV30" s="537" t="str">
        <f>IF(AND($G30=Lists!$D$41,$D30=AV$7),$F30,"")</f>
        <v/>
      </c>
      <c r="AW30" s="537" t="str">
        <f>IF(AND($G30=Lists!$D$41,$D30=AW$7),$F30,"")</f>
        <v/>
      </c>
      <c r="AX30" s="537" t="str">
        <f>IF(AND($G30=Lists!$D$41,$D30=AX$7),$F30,"")</f>
        <v/>
      </c>
      <c r="AY30" s="537" t="str">
        <f>IF(AND($G30=Lists!$D$41,$D30=AY$7),$F30,"")</f>
        <v/>
      </c>
      <c r="AZ30" s="537" t="str">
        <f>IF(AND($G30=Lists!$D$41,$D30=AZ$7),$F30,"")</f>
        <v/>
      </c>
      <c r="BA30" s="537" t="str">
        <f>IF(AND($G30=Lists!$D$41,$D30=BA$7),$F30,"")</f>
        <v/>
      </c>
      <c r="BB30" s="537" t="str">
        <f>IF(AND($G30=Lists!$D$41,$D30=BB$7),$F30,"")</f>
        <v/>
      </c>
      <c r="BC30" s="537" t="str">
        <f>IF(AND($G30=Lists!$D$41,$D30=BC$7),$F30,"")</f>
        <v/>
      </c>
      <c r="BD30" s="537" t="str">
        <f>IF(AND($G30=Lists!$D$41,$D30=BD$7),$F30,"")</f>
        <v/>
      </c>
      <c r="BE30" s="537" t="str">
        <f>IF(AND($G30=Lists!$D$41,$D30=BE$7),$F30,"")</f>
        <v/>
      </c>
      <c r="BF30" s="537" t="str">
        <f>IF(AND($G30=Lists!$D$41,$D30=BF$7),$F30,"")</f>
        <v/>
      </c>
      <c r="BG30" s="537" t="str">
        <f>IF(AND($G30=Lists!$D$41,$D30=BG$7),$F30,"")</f>
        <v/>
      </c>
      <c r="BH30" s="537" t="str">
        <f>IF(AND($G30=Lists!$D$41,$D30=BH$7),$F30,"")</f>
        <v/>
      </c>
      <c r="BI30" s="537" t="str">
        <f>IF(AND($G30=Lists!$D$41,$D30=BI$7),$F30,"")</f>
        <v/>
      </c>
      <c r="BJ30" s="537" t="str">
        <f>IF(AND($G30=Lists!$D$41,$D30=BJ$7),$F30,"")</f>
        <v/>
      </c>
      <c r="BK30" s="537" t="str">
        <f>IF(AND($G30=Lists!$D$41,$D30=BK$7),$F30,"")</f>
        <v/>
      </c>
      <c r="BL30" s="537">
        <f>IF(AND($G30=Lists!$D$41,$D30=BL$7),$F30,"")</f>
        <v>0</v>
      </c>
      <c r="BM30" s="537" t="str">
        <f>IF(AND($G30=Lists!$D$41,$D30=BM$7),$F30,"")</f>
        <v/>
      </c>
      <c r="BN30" s="537" t="str">
        <f>IF(AND($G30=Lists!$D$41,$D30=BN$7),$F30,"")</f>
        <v/>
      </c>
      <c r="BO30" s="537" t="str">
        <f>IF(AND($G30=Lists!$D$41,$D30=BO$7),$F30,"")</f>
        <v/>
      </c>
      <c r="BP30" s="537" t="str">
        <f>IF(AND($G30=Lists!$D$41,$D30=BP$7),$F30,"")</f>
        <v/>
      </c>
      <c r="BQ30" s="537" t="str">
        <f>IF(AND($G30=Lists!$D$41,$D30=BQ$7),$F30,"")</f>
        <v/>
      </c>
      <c r="BR30" s="537" t="str">
        <f>IF(AND($G30=Lists!$D$41,$D30=BR$7),$F30,"")</f>
        <v/>
      </c>
      <c r="BS30" s="537" t="str">
        <f>IF(AND($G30=Lists!$D$41,$D30=BS$7),$F30,"")</f>
        <v/>
      </c>
      <c r="BT30" s="537" t="str">
        <f>IF(AND($G30=Lists!$D$41,$D30=BT$7),$F30,"")</f>
        <v/>
      </c>
      <c r="BU30" s="537" t="str">
        <f>IF(AND($G30=Lists!$D$41,$D30=BU$7),$F30,"")</f>
        <v/>
      </c>
      <c r="BV30" s="537" t="str">
        <f>IF(AND($G30=Lists!$D$41,$D30=BV$7),$F30,"")</f>
        <v/>
      </c>
      <c r="BW30" s="537" t="str">
        <f>IF(AND($G30=Lists!$D$41,$D30=BW$7),$F30,"")</f>
        <v/>
      </c>
      <c r="BY30" s="537" t="str">
        <f>IF(AND($G30=Lists!$D$42,$D30=BY$7),$F30,"")</f>
        <v/>
      </c>
      <c r="BZ30" s="537" t="str">
        <f>IF(AND($G30=Lists!$D$42,$D30=BZ$7),$F30,"")</f>
        <v/>
      </c>
      <c r="CA30" s="537" t="str">
        <f>IF(AND($G30=Lists!$D$42,$D30=CA$7),$F30,"")</f>
        <v/>
      </c>
      <c r="CB30" s="537" t="str">
        <f>IF(AND($G30=Lists!$D$42,$D30=CB$7),$F30,"")</f>
        <v/>
      </c>
      <c r="CC30" s="537" t="str">
        <f>IF(AND($G30=Lists!$D$42,$D30=CC$7),$F30,"")</f>
        <v/>
      </c>
      <c r="CD30" s="537" t="str">
        <f>IF(AND($G30=Lists!$D$42,$D30=CD$7),$F30,"")</f>
        <v/>
      </c>
      <c r="CE30" s="537" t="str">
        <f>IF(AND($G30=Lists!$D$42,$D30=CE$7),$F30,"")</f>
        <v/>
      </c>
      <c r="CF30" s="537" t="str">
        <f>IF(AND($G30=Lists!$D$42,$D30=CF$7),$F30,"")</f>
        <v/>
      </c>
      <c r="CG30" s="537" t="str">
        <f>IF(AND($G30=Lists!$D$42,$D30=CG$7),$F30,"")</f>
        <v/>
      </c>
      <c r="CH30" s="537" t="str">
        <f>IF(AND($G30=Lists!$D$42,$D30=CH$7),$F30,"")</f>
        <v/>
      </c>
      <c r="CI30" s="537" t="str">
        <f>IF(AND($G30=Lists!$D$42,$D30=CI$7),$F30,"")</f>
        <v/>
      </c>
      <c r="CJ30" s="537" t="str">
        <f>IF(AND($G30=Lists!$D$42,$D30=CJ$7),$F30,"")</f>
        <v/>
      </c>
      <c r="CK30" s="537" t="str">
        <f>IF(AND($G30=Lists!$D$42,$D30=CK$7),$F30,"")</f>
        <v/>
      </c>
      <c r="CL30" s="537" t="str">
        <f>IF(AND($G30=Lists!$D$42,$D30=CL$7),$F30,"")</f>
        <v/>
      </c>
      <c r="CM30" s="537" t="str">
        <f>IF(AND($G30=Lists!$D$42,$D30=CM$7),$F30,"")</f>
        <v/>
      </c>
      <c r="CN30" s="537" t="str">
        <f>IF(AND($G30=Lists!$D$42,$D30=CN$7),$F30,"")</f>
        <v/>
      </c>
      <c r="CO30" s="537" t="str">
        <f>IF(AND($G30=Lists!$D$42,$D30=CO$7),$F30,"")</f>
        <v/>
      </c>
      <c r="CP30" s="537" t="str">
        <f>IF(AND($G30=Lists!$D$42,$D30=CP$7),$F30,"")</f>
        <v/>
      </c>
      <c r="CQ30" s="537" t="str">
        <f>IF(AND($G30=Lists!$D$42,$D30=CQ$7),$F30,"")</f>
        <v/>
      </c>
      <c r="CR30" s="537" t="str">
        <f>IF(AND($G30=Lists!$D$42,$D30=CR$7),$F30,"")</f>
        <v/>
      </c>
      <c r="CS30" s="537" t="str">
        <f>IF(AND($G30=Lists!$D$42,$D30=CS$7),$F30,"")</f>
        <v/>
      </c>
      <c r="CT30" s="537" t="str">
        <f>IF(AND($G30=Lists!$D$42,$D30=CT$7),$F30,"")</f>
        <v/>
      </c>
      <c r="CU30" s="537" t="str">
        <f>IF(AND($G30=Lists!$D$42,$D30=CU$7),$F30,"")</f>
        <v/>
      </c>
      <c r="CV30" s="537" t="str">
        <f>IF(AND($G30=Lists!$D$42,$D30=CV$7),$F30,"")</f>
        <v/>
      </c>
      <c r="CW30" s="537" t="str">
        <f>IF(AND($G30=Lists!$D$42,$D30=CW$7),$F30,"")</f>
        <v/>
      </c>
      <c r="CX30" s="537" t="str">
        <f>IF(AND($G30=Lists!$D$42,$D30=CX$7),$F30,"")</f>
        <v/>
      </c>
      <c r="CY30" s="537" t="str">
        <f>IF(AND($G30=Lists!$D$42,$D30=CY$7),$F30,"")</f>
        <v/>
      </c>
      <c r="CZ30" s="537" t="str">
        <f>IF(AND($G30=Lists!$D$42,$D30=CZ$7),$F30,"")</f>
        <v/>
      </c>
      <c r="DA30" s="537" t="str">
        <f>IF(AND($G30=Lists!$D$42,$D30=DA$7),$F30,"")</f>
        <v/>
      </c>
      <c r="DB30" s="537" t="str">
        <f>IF(AND($G30=Lists!$D$42,$D30=DB$7),$F30,"")</f>
        <v/>
      </c>
      <c r="DC30" s="537"/>
      <c r="DD30" s="537"/>
      <c r="DE30" s="537" t="str">
        <f>IF(AND($G30=Lists!$D$42,$D30=DE$7),$F30,"")</f>
        <v/>
      </c>
    </row>
    <row r="31" spans="1:109">
      <c r="A31" s="532"/>
      <c r="B31" s="137"/>
      <c r="C31" s="139"/>
      <c r="D31" s="120" t="s">
        <v>1801</v>
      </c>
      <c r="E31" s="89"/>
      <c r="F31" s="128"/>
      <c r="G31" s="55" t="s">
        <v>1779</v>
      </c>
      <c r="H31" s="536"/>
      <c r="I31" s="537" t="str">
        <f t="shared" si="19"/>
        <v/>
      </c>
      <c r="J31" s="537" t="str">
        <f t="shared" si="19"/>
        <v/>
      </c>
      <c r="K31" s="537" t="str">
        <f t="shared" si="19"/>
        <v/>
      </c>
      <c r="L31" s="537" t="str">
        <f t="shared" si="17"/>
        <v/>
      </c>
      <c r="M31" s="537" t="str">
        <f t="shared" si="17"/>
        <v/>
      </c>
      <c r="N31" s="537" t="str">
        <f t="shared" si="19"/>
        <v/>
      </c>
      <c r="O31" s="537" t="str">
        <f t="shared" si="19"/>
        <v/>
      </c>
      <c r="P31" s="537" t="str">
        <f t="shared" si="19"/>
        <v/>
      </c>
      <c r="Q31" s="537" t="str">
        <f t="shared" si="19"/>
        <v/>
      </c>
      <c r="R31" s="537" t="str">
        <f t="shared" si="19"/>
        <v/>
      </c>
      <c r="S31" s="537" t="str">
        <f t="shared" si="19"/>
        <v/>
      </c>
      <c r="T31" s="537" t="str">
        <f t="shared" si="19"/>
        <v/>
      </c>
      <c r="U31" s="537" t="str">
        <f t="shared" si="19"/>
        <v/>
      </c>
      <c r="V31" s="537" t="str">
        <f t="shared" si="19"/>
        <v/>
      </c>
      <c r="W31" s="537" t="str">
        <f t="shared" si="19"/>
        <v/>
      </c>
      <c r="X31" s="537" t="str">
        <f t="shared" si="19"/>
        <v/>
      </c>
      <c r="Y31" s="537" t="str">
        <f t="shared" si="19"/>
        <v/>
      </c>
      <c r="Z31" s="537" t="str">
        <f t="shared" si="19"/>
        <v/>
      </c>
      <c r="AA31" s="537" t="str">
        <f t="shared" si="20"/>
        <v/>
      </c>
      <c r="AB31" s="537" t="str">
        <f t="shared" si="20"/>
        <v/>
      </c>
      <c r="AC31" s="537" t="str">
        <f t="shared" si="20"/>
        <v/>
      </c>
      <c r="AD31" s="537" t="str">
        <f t="shared" si="20"/>
        <v/>
      </c>
      <c r="AE31" s="537">
        <f t="shared" si="18"/>
        <v>0</v>
      </c>
      <c r="AF31" s="537" t="str">
        <f t="shared" si="20"/>
        <v/>
      </c>
      <c r="AG31" s="537" t="str">
        <f t="shared" si="20"/>
        <v/>
      </c>
      <c r="AH31" s="537" t="str">
        <f t="shared" si="20"/>
        <v/>
      </c>
      <c r="AI31" s="537" t="str">
        <f t="shared" si="20"/>
        <v/>
      </c>
      <c r="AJ31" s="537" t="str">
        <f t="shared" si="20"/>
        <v/>
      </c>
      <c r="AK31" s="537" t="str">
        <f t="shared" si="20"/>
        <v/>
      </c>
      <c r="AL31" s="537" t="str">
        <f t="shared" si="20"/>
        <v/>
      </c>
      <c r="AM31" s="537" t="str">
        <f t="shared" si="20"/>
        <v/>
      </c>
      <c r="AN31" s="537" t="str">
        <f t="shared" si="20"/>
        <v/>
      </c>
      <c r="AO31" s="537" t="str">
        <f t="shared" si="20"/>
        <v/>
      </c>
      <c r="AQ31" s="537" t="str">
        <f>IF(AND($G31=Lists!$D$41,$D31=AQ$7),$F31,"")</f>
        <v/>
      </c>
      <c r="AR31" s="537" t="str">
        <f>IF(AND($G31=Lists!$D$41,$D31=AR$7),$F31,"")</f>
        <v/>
      </c>
      <c r="AS31" s="537" t="str">
        <f>IF(AND($G31=Lists!$D$41,$D31=AS$7),$F31,"")</f>
        <v/>
      </c>
      <c r="AT31" s="537" t="str">
        <f>IF(AND($G31=Lists!$D$41,$D31=AT$7),$F31,"")</f>
        <v/>
      </c>
      <c r="AU31" s="537" t="str">
        <f>IF(AND($G31=Lists!$D$41,$D31=AU$7),$F31,"")</f>
        <v/>
      </c>
      <c r="AV31" s="537" t="str">
        <f>IF(AND($G31=Lists!$D$41,$D31=AV$7),$F31,"")</f>
        <v/>
      </c>
      <c r="AW31" s="537" t="str">
        <f>IF(AND($G31=Lists!$D$41,$D31=AW$7),$F31,"")</f>
        <v/>
      </c>
      <c r="AX31" s="537" t="str">
        <f>IF(AND($G31=Lists!$D$41,$D31=AX$7),$F31,"")</f>
        <v/>
      </c>
      <c r="AY31" s="537" t="str">
        <f>IF(AND($G31=Lists!$D$41,$D31=AY$7),$F31,"")</f>
        <v/>
      </c>
      <c r="AZ31" s="537" t="str">
        <f>IF(AND($G31=Lists!$D$41,$D31=AZ$7),$F31,"")</f>
        <v/>
      </c>
      <c r="BA31" s="537" t="str">
        <f>IF(AND($G31=Lists!$D$41,$D31=BA$7),$F31,"")</f>
        <v/>
      </c>
      <c r="BB31" s="537" t="str">
        <f>IF(AND($G31=Lists!$D$41,$D31=BB$7),$F31,"")</f>
        <v/>
      </c>
      <c r="BC31" s="537" t="str">
        <f>IF(AND($G31=Lists!$D$41,$D31=BC$7),$F31,"")</f>
        <v/>
      </c>
      <c r="BD31" s="537" t="str">
        <f>IF(AND($G31=Lists!$D$41,$D31=BD$7),$F31,"")</f>
        <v/>
      </c>
      <c r="BE31" s="537" t="str">
        <f>IF(AND($G31=Lists!$D$41,$D31=BE$7),$F31,"")</f>
        <v/>
      </c>
      <c r="BF31" s="537" t="str">
        <f>IF(AND($G31=Lists!$D$41,$D31=BF$7),$F31,"")</f>
        <v/>
      </c>
      <c r="BG31" s="537" t="str">
        <f>IF(AND($G31=Lists!$D$41,$D31=BG$7),$F31,"")</f>
        <v/>
      </c>
      <c r="BH31" s="537" t="str">
        <f>IF(AND($G31=Lists!$D$41,$D31=BH$7),$F31,"")</f>
        <v/>
      </c>
      <c r="BI31" s="537" t="str">
        <f>IF(AND($G31=Lists!$D$41,$D31=BI$7),$F31,"")</f>
        <v/>
      </c>
      <c r="BJ31" s="537" t="str">
        <f>IF(AND($G31=Lists!$D$41,$D31=BJ$7),$F31,"")</f>
        <v/>
      </c>
      <c r="BK31" s="537" t="str">
        <f>IF(AND($G31=Lists!$D$41,$D31=BK$7),$F31,"")</f>
        <v/>
      </c>
      <c r="BL31" s="537" t="str">
        <f>IF(AND($G31=Lists!$D$41,$D31=BL$7),$F31,"")</f>
        <v/>
      </c>
      <c r="BM31" s="537">
        <f>IF(AND($G31=Lists!$D$41,$D31=BM$7),$F31,"")</f>
        <v>0</v>
      </c>
      <c r="BN31" s="537" t="str">
        <f>IF(AND($G31=Lists!$D$41,$D31=BN$7),$F31,"")</f>
        <v/>
      </c>
      <c r="BO31" s="537" t="str">
        <f>IF(AND($G31=Lists!$D$41,$D31=BO$7),$F31,"")</f>
        <v/>
      </c>
      <c r="BP31" s="537" t="str">
        <f>IF(AND($G31=Lists!$D$41,$D31=BP$7),$F31,"")</f>
        <v/>
      </c>
      <c r="BQ31" s="537" t="str">
        <f>IF(AND($G31=Lists!$D$41,$D31=BQ$7),$F31,"")</f>
        <v/>
      </c>
      <c r="BR31" s="537" t="str">
        <f>IF(AND($G31=Lists!$D$41,$D31=BR$7),$F31,"")</f>
        <v/>
      </c>
      <c r="BS31" s="537" t="str">
        <f>IF(AND($G31=Lists!$D$41,$D31=BS$7),$F31,"")</f>
        <v/>
      </c>
      <c r="BT31" s="537" t="str">
        <f>IF(AND($G31=Lists!$D$41,$D31=BT$7),$F31,"")</f>
        <v/>
      </c>
      <c r="BU31" s="537" t="str">
        <f>IF(AND($G31=Lists!$D$41,$D31=BU$7),$F31,"")</f>
        <v/>
      </c>
      <c r="BV31" s="537" t="str">
        <f>IF(AND($G31=Lists!$D$41,$D31=BV$7),$F31,"")</f>
        <v/>
      </c>
      <c r="BW31" s="537" t="str">
        <f>IF(AND($G31=Lists!$D$41,$D31=BW$7),$F31,"")</f>
        <v/>
      </c>
      <c r="BY31" s="537" t="str">
        <f>IF(AND($G31=Lists!$D$42,$D31=BY$7),$F31,"")</f>
        <v/>
      </c>
      <c r="BZ31" s="537" t="str">
        <f>IF(AND($G31=Lists!$D$42,$D31=BZ$7),$F31,"")</f>
        <v/>
      </c>
      <c r="CA31" s="537" t="str">
        <f>IF(AND($G31=Lists!$D$42,$D31=CA$7),$F31,"")</f>
        <v/>
      </c>
      <c r="CB31" s="537" t="str">
        <f>IF(AND($G31=Lists!$D$42,$D31=CB$7),$F31,"")</f>
        <v/>
      </c>
      <c r="CC31" s="537" t="str">
        <f>IF(AND($G31=Lists!$D$42,$D31=CC$7),$F31,"")</f>
        <v/>
      </c>
      <c r="CD31" s="537" t="str">
        <f>IF(AND($G31=Lists!$D$42,$D31=CD$7),$F31,"")</f>
        <v/>
      </c>
      <c r="CE31" s="537" t="str">
        <f>IF(AND($G31=Lists!$D$42,$D31=CE$7),$F31,"")</f>
        <v/>
      </c>
      <c r="CF31" s="537" t="str">
        <f>IF(AND($G31=Lists!$D$42,$D31=CF$7),$F31,"")</f>
        <v/>
      </c>
      <c r="CG31" s="537" t="str">
        <f>IF(AND($G31=Lists!$D$42,$D31=CG$7),$F31,"")</f>
        <v/>
      </c>
      <c r="CH31" s="537" t="str">
        <f>IF(AND($G31=Lists!$D$42,$D31=CH$7),$F31,"")</f>
        <v/>
      </c>
      <c r="CI31" s="537" t="str">
        <f>IF(AND($G31=Lists!$D$42,$D31=CI$7),$F31,"")</f>
        <v/>
      </c>
      <c r="CJ31" s="537" t="str">
        <f>IF(AND($G31=Lists!$D$42,$D31=CJ$7),$F31,"")</f>
        <v/>
      </c>
      <c r="CK31" s="537" t="str">
        <f>IF(AND($G31=Lists!$D$42,$D31=CK$7),$F31,"")</f>
        <v/>
      </c>
      <c r="CL31" s="537" t="str">
        <f>IF(AND($G31=Lists!$D$42,$D31=CL$7),$F31,"")</f>
        <v/>
      </c>
      <c r="CM31" s="537" t="str">
        <f>IF(AND($G31=Lists!$D$42,$D31=CM$7),$F31,"")</f>
        <v/>
      </c>
      <c r="CN31" s="537" t="str">
        <f>IF(AND($G31=Lists!$D$42,$D31=CN$7),$F31,"")</f>
        <v/>
      </c>
      <c r="CO31" s="537" t="str">
        <f>IF(AND($G31=Lists!$D$42,$D31=CO$7),$F31,"")</f>
        <v/>
      </c>
      <c r="CP31" s="537" t="str">
        <f>IF(AND($G31=Lists!$D$42,$D31=CP$7),$F31,"")</f>
        <v/>
      </c>
      <c r="CQ31" s="537" t="str">
        <f>IF(AND($G31=Lists!$D$42,$D31=CQ$7),$F31,"")</f>
        <v/>
      </c>
      <c r="CR31" s="537" t="str">
        <f>IF(AND($G31=Lists!$D$42,$D31=CR$7),$F31,"")</f>
        <v/>
      </c>
      <c r="CS31" s="537" t="str">
        <f>IF(AND($G31=Lists!$D$42,$D31=CS$7),$F31,"")</f>
        <v/>
      </c>
      <c r="CT31" s="537" t="str">
        <f>IF(AND($G31=Lists!$D$42,$D31=CT$7),$F31,"")</f>
        <v/>
      </c>
      <c r="CU31" s="537" t="str">
        <f>IF(AND($G31=Lists!$D$42,$D31=CU$7),$F31,"")</f>
        <v/>
      </c>
      <c r="CV31" s="537" t="str">
        <f>IF(AND($G31=Lists!$D$42,$D31=CV$7),$F31,"")</f>
        <v/>
      </c>
      <c r="CW31" s="537" t="str">
        <f>IF(AND($G31=Lists!$D$42,$D31=CW$7),$F31,"")</f>
        <v/>
      </c>
      <c r="CX31" s="537" t="str">
        <f>IF(AND($G31=Lists!$D$42,$D31=CX$7),$F31,"")</f>
        <v/>
      </c>
      <c r="CY31" s="537" t="str">
        <f>IF(AND($G31=Lists!$D$42,$D31=CY$7),$F31,"")</f>
        <v/>
      </c>
      <c r="CZ31" s="537" t="str">
        <f>IF(AND($G31=Lists!$D$42,$D31=CZ$7),$F31,"")</f>
        <v/>
      </c>
      <c r="DA31" s="537" t="str">
        <f>IF(AND($G31=Lists!$D$42,$D31=DA$7),$F31,"")</f>
        <v/>
      </c>
      <c r="DB31" s="537" t="str">
        <f>IF(AND($G31=Lists!$D$42,$D31=DB$7),$F31,"")</f>
        <v/>
      </c>
      <c r="DC31" s="537"/>
      <c r="DD31" s="537"/>
      <c r="DE31" s="537" t="str">
        <f>IF(AND($G31=Lists!$D$42,$D31=DE$7),$F31,"")</f>
        <v/>
      </c>
    </row>
    <row r="32" spans="1:109">
      <c r="A32" s="532"/>
      <c r="B32" s="137"/>
      <c r="C32" s="139"/>
      <c r="D32" s="120" t="s">
        <v>1802</v>
      </c>
      <c r="E32" s="89"/>
      <c r="F32" s="128"/>
      <c r="G32" s="55" t="s">
        <v>1779</v>
      </c>
      <c r="H32" s="536"/>
      <c r="I32" s="537" t="str">
        <f t="shared" si="19"/>
        <v/>
      </c>
      <c r="J32" s="537" t="str">
        <f t="shared" si="19"/>
        <v/>
      </c>
      <c r="K32" s="537" t="str">
        <f t="shared" si="19"/>
        <v/>
      </c>
      <c r="L32" s="537" t="str">
        <f t="shared" si="17"/>
        <v/>
      </c>
      <c r="M32" s="537" t="str">
        <f t="shared" si="17"/>
        <v/>
      </c>
      <c r="N32" s="537" t="str">
        <f t="shared" si="19"/>
        <v/>
      </c>
      <c r="O32" s="537" t="str">
        <f t="shared" si="19"/>
        <v/>
      </c>
      <c r="P32" s="537" t="str">
        <f t="shared" si="19"/>
        <v/>
      </c>
      <c r="Q32" s="537" t="str">
        <f t="shared" si="19"/>
        <v/>
      </c>
      <c r="R32" s="537" t="str">
        <f t="shared" si="19"/>
        <v/>
      </c>
      <c r="S32" s="537" t="str">
        <f t="shared" si="19"/>
        <v/>
      </c>
      <c r="T32" s="537" t="str">
        <f t="shared" si="19"/>
        <v/>
      </c>
      <c r="U32" s="537" t="str">
        <f t="shared" si="19"/>
        <v/>
      </c>
      <c r="V32" s="537" t="str">
        <f t="shared" si="19"/>
        <v/>
      </c>
      <c r="W32" s="537" t="str">
        <f t="shared" si="19"/>
        <v/>
      </c>
      <c r="X32" s="537" t="str">
        <f t="shared" si="19"/>
        <v/>
      </c>
      <c r="Y32" s="537" t="str">
        <f t="shared" si="19"/>
        <v/>
      </c>
      <c r="Z32" s="537" t="str">
        <f t="shared" si="19"/>
        <v/>
      </c>
      <c r="AA32" s="537" t="str">
        <f t="shared" si="20"/>
        <v/>
      </c>
      <c r="AB32" s="537" t="str">
        <f t="shared" si="20"/>
        <v/>
      </c>
      <c r="AC32" s="537" t="str">
        <f t="shared" si="20"/>
        <v/>
      </c>
      <c r="AD32" s="537" t="str">
        <f t="shared" si="20"/>
        <v/>
      </c>
      <c r="AE32" s="537" t="str">
        <f t="shared" si="18"/>
        <v/>
      </c>
      <c r="AF32" s="537">
        <f t="shared" si="20"/>
        <v>0</v>
      </c>
      <c r="AG32" s="537" t="str">
        <f t="shared" si="20"/>
        <v/>
      </c>
      <c r="AH32" s="537" t="str">
        <f t="shared" si="20"/>
        <v/>
      </c>
      <c r="AI32" s="537" t="str">
        <f t="shared" si="20"/>
        <v/>
      </c>
      <c r="AJ32" s="537" t="str">
        <f t="shared" si="20"/>
        <v/>
      </c>
      <c r="AK32" s="537" t="str">
        <f t="shared" si="20"/>
        <v/>
      </c>
      <c r="AL32" s="537" t="str">
        <f t="shared" si="20"/>
        <v/>
      </c>
      <c r="AM32" s="537" t="str">
        <f t="shared" si="20"/>
        <v/>
      </c>
      <c r="AN32" s="537" t="str">
        <f t="shared" si="20"/>
        <v/>
      </c>
      <c r="AO32" s="537" t="str">
        <f t="shared" si="20"/>
        <v/>
      </c>
      <c r="AQ32" s="537" t="str">
        <f>IF(AND($G32=Lists!$D$41,$D32=AQ$7),$F32,"")</f>
        <v/>
      </c>
      <c r="AR32" s="537" t="str">
        <f>IF(AND($G32=Lists!$D$41,$D32=AR$7),$F32,"")</f>
        <v/>
      </c>
      <c r="AS32" s="537" t="str">
        <f>IF(AND($G32=Lists!$D$41,$D32=AS$7),$F32,"")</f>
        <v/>
      </c>
      <c r="AT32" s="537" t="str">
        <f>IF(AND($G32=Lists!$D$41,$D32=AT$7),$F32,"")</f>
        <v/>
      </c>
      <c r="AU32" s="537" t="str">
        <f>IF(AND($G32=Lists!$D$41,$D32=AU$7),$F32,"")</f>
        <v/>
      </c>
      <c r="AV32" s="537" t="str">
        <f>IF(AND($G32=Lists!$D$41,$D32=AV$7),$F32,"")</f>
        <v/>
      </c>
      <c r="AW32" s="537" t="str">
        <f>IF(AND($G32=Lists!$D$41,$D32=AW$7),$F32,"")</f>
        <v/>
      </c>
      <c r="AX32" s="537" t="str">
        <f>IF(AND($G32=Lists!$D$41,$D32=AX$7),$F32,"")</f>
        <v/>
      </c>
      <c r="AY32" s="537" t="str">
        <f>IF(AND($G32=Lists!$D$41,$D32=AY$7),$F32,"")</f>
        <v/>
      </c>
      <c r="AZ32" s="537" t="str">
        <f>IF(AND($G32=Lists!$D$41,$D32=AZ$7),$F32,"")</f>
        <v/>
      </c>
      <c r="BA32" s="537" t="str">
        <f>IF(AND($G32=Lists!$D$41,$D32=BA$7),$F32,"")</f>
        <v/>
      </c>
      <c r="BB32" s="537" t="str">
        <f>IF(AND($G32=Lists!$D$41,$D32=BB$7),$F32,"")</f>
        <v/>
      </c>
      <c r="BC32" s="537" t="str">
        <f>IF(AND($G32=Lists!$D$41,$D32=BC$7),$F32,"")</f>
        <v/>
      </c>
      <c r="BD32" s="537" t="str">
        <f>IF(AND($G32=Lists!$D$41,$D32=BD$7),$F32,"")</f>
        <v/>
      </c>
      <c r="BE32" s="537" t="str">
        <f>IF(AND($G32=Lists!$D$41,$D32=BE$7),$F32,"")</f>
        <v/>
      </c>
      <c r="BF32" s="537" t="str">
        <f>IF(AND($G32=Lists!$D$41,$D32=BF$7),$F32,"")</f>
        <v/>
      </c>
      <c r="BG32" s="537" t="str">
        <f>IF(AND($G32=Lists!$D$41,$D32=BG$7),$F32,"")</f>
        <v/>
      </c>
      <c r="BH32" s="537" t="str">
        <f>IF(AND($G32=Lists!$D$41,$D32=BH$7),$F32,"")</f>
        <v/>
      </c>
      <c r="BI32" s="537" t="str">
        <f>IF(AND($G32=Lists!$D$41,$D32=BI$7),$F32,"")</f>
        <v/>
      </c>
      <c r="BJ32" s="537" t="str">
        <f>IF(AND($G32=Lists!$D$41,$D32=BJ$7),$F32,"")</f>
        <v/>
      </c>
      <c r="BK32" s="537" t="str">
        <f>IF(AND($G32=Lists!$D$41,$D32=BK$7),$F32,"")</f>
        <v/>
      </c>
      <c r="BL32" s="537" t="str">
        <f>IF(AND($G32=Lists!$D$41,$D32=BL$7),$F32,"")</f>
        <v/>
      </c>
      <c r="BM32" s="537" t="str">
        <f>IF(AND($G32=Lists!$D$41,$D32=BM$7),$F32,"")</f>
        <v/>
      </c>
      <c r="BN32" s="537">
        <f>IF(AND($G32=Lists!$D$41,$D32=BN$7),$F32,"")</f>
        <v>0</v>
      </c>
      <c r="BO32" s="537" t="str">
        <f>IF(AND($G32=Lists!$D$41,$D32=BO$7),$F32,"")</f>
        <v/>
      </c>
      <c r="BP32" s="537" t="str">
        <f>IF(AND($G32=Lists!$D$41,$D32=BP$7),$F32,"")</f>
        <v/>
      </c>
      <c r="BQ32" s="537" t="str">
        <f>IF(AND($G32=Lists!$D$41,$D32=BQ$7),$F32,"")</f>
        <v/>
      </c>
      <c r="BR32" s="537" t="str">
        <f>IF(AND($G32=Lists!$D$41,$D32=BR$7),$F32,"")</f>
        <v/>
      </c>
      <c r="BS32" s="537" t="str">
        <f>IF(AND($G32=Lists!$D$41,$D32=BS$7),$F32,"")</f>
        <v/>
      </c>
      <c r="BT32" s="537" t="str">
        <f>IF(AND($G32=Lists!$D$41,$D32=BT$7),$F32,"")</f>
        <v/>
      </c>
      <c r="BU32" s="537" t="str">
        <f>IF(AND($G32=Lists!$D$41,$D32=BU$7),$F32,"")</f>
        <v/>
      </c>
      <c r="BV32" s="537" t="str">
        <f>IF(AND($G32=Lists!$D$41,$D32=BV$7),$F32,"")</f>
        <v/>
      </c>
      <c r="BW32" s="537" t="str">
        <f>IF(AND($G32=Lists!$D$41,$D32=BW$7),$F32,"")</f>
        <v/>
      </c>
      <c r="BY32" s="537" t="str">
        <f>IF(AND($G32=Lists!$D$42,$D32=BY$7),$F32,"")</f>
        <v/>
      </c>
      <c r="BZ32" s="537" t="str">
        <f>IF(AND($G32=Lists!$D$42,$D32=BZ$7),$F32,"")</f>
        <v/>
      </c>
      <c r="CA32" s="537" t="str">
        <f>IF(AND($G32=Lists!$D$42,$D32=CA$7),$F32,"")</f>
        <v/>
      </c>
      <c r="CB32" s="537" t="str">
        <f>IF(AND($G32=Lists!$D$42,$D32=CB$7),$F32,"")</f>
        <v/>
      </c>
      <c r="CC32" s="537" t="str">
        <f>IF(AND($G32=Lists!$D$42,$D32=CC$7),$F32,"")</f>
        <v/>
      </c>
      <c r="CD32" s="537" t="str">
        <f>IF(AND($G32=Lists!$D$42,$D32=CD$7),$F32,"")</f>
        <v/>
      </c>
      <c r="CE32" s="537" t="str">
        <f>IF(AND($G32=Lists!$D$42,$D32=CE$7),$F32,"")</f>
        <v/>
      </c>
      <c r="CF32" s="537" t="str">
        <f>IF(AND($G32=Lists!$D$42,$D32=CF$7),$F32,"")</f>
        <v/>
      </c>
      <c r="CG32" s="537" t="str">
        <f>IF(AND($G32=Lists!$D$42,$D32=CG$7),$F32,"")</f>
        <v/>
      </c>
      <c r="CH32" s="537" t="str">
        <f>IF(AND($G32=Lists!$D$42,$D32=CH$7),$F32,"")</f>
        <v/>
      </c>
      <c r="CI32" s="537" t="str">
        <f>IF(AND($G32=Lists!$D$42,$D32=CI$7),$F32,"")</f>
        <v/>
      </c>
      <c r="CJ32" s="537" t="str">
        <f>IF(AND($G32=Lists!$D$42,$D32=CJ$7),$F32,"")</f>
        <v/>
      </c>
      <c r="CK32" s="537" t="str">
        <f>IF(AND($G32=Lists!$D$42,$D32=CK$7),$F32,"")</f>
        <v/>
      </c>
      <c r="CL32" s="537" t="str">
        <f>IF(AND($G32=Lists!$D$42,$D32=CL$7),$F32,"")</f>
        <v/>
      </c>
      <c r="CM32" s="537" t="str">
        <f>IF(AND($G32=Lists!$D$42,$D32=CM$7),$F32,"")</f>
        <v/>
      </c>
      <c r="CN32" s="537" t="str">
        <f>IF(AND($G32=Lists!$D$42,$D32=CN$7),$F32,"")</f>
        <v/>
      </c>
      <c r="CO32" s="537" t="str">
        <f>IF(AND($G32=Lists!$D$42,$D32=CO$7),$F32,"")</f>
        <v/>
      </c>
      <c r="CP32" s="537" t="str">
        <f>IF(AND($G32=Lists!$D$42,$D32=CP$7),$F32,"")</f>
        <v/>
      </c>
      <c r="CQ32" s="537" t="str">
        <f>IF(AND($G32=Lists!$D$42,$D32=CQ$7),$F32,"")</f>
        <v/>
      </c>
      <c r="CR32" s="537" t="str">
        <f>IF(AND($G32=Lists!$D$42,$D32=CR$7),$F32,"")</f>
        <v/>
      </c>
      <c r="CS32" s="537" t="str">
        <f>IF(AND($G32=Lists!$D$42,$D32=CS$7),$F32,"")</f>
        <v/>
      </c>
      <c r="CT32" s="537" t="str">
        <f>IF(AND($G32=Lists!$D$42,$D32=CT$7),$F32,"")</f>
        <v/>
      </c>
      <c r="CU32" s="537" t="str">
        <f>IF(AND($G32=Lists!$D$42,$D32=CU$7),$F32,"")</f>
        <v/>
      </c>
      <c r="CV32" s="537" t="str">
        <f>IF(AND($G32=Lists!$D$42,$D32=CV$7),$F32,"")</f>
        <v/>
      </c>
      <c r="CW32" s="537" t="str">
        <f>IF(AND($G32=Lists!$D$42,$D32=CW$7),$F32,"")</f>
        <v/>
      </c>
      <c r="CX32" s="537" t="str">
        <f>IF(AND($G32=Lists!$D$42,$D32=CX$7),$F32,"")</f>
        <v/>
      </c>
      <c r="CY32" s="537" t="str">
        <f>IF(AND($G32=Lists!$D$42,$D32=CY$7),$F32,"")</f>
        <v/>
      </c>
      <c r="CZ32" s="537" t="str">
        <f>IF(AND($G32=Lists!$D$42,$D32=CZ$7),$F32,"")</f>
        <v/>
      </c>
      <c r="DA32" s="537" t="str">
        <f>IF(AND($G32=Lists!$D$42,$D32=DA$7),$F32,"")</f>
        <v/>
      </c>
      <c r="DB32" s="537" t="str">
        <f>IF(AND($G32=Lists!$D$42,$D32=DB$7),$F32,"")</f>
        <v/>
      </c>
      <c r="DC32" s="537"/>
      <c r="DD32" s="537"/>
      <c r="DE32" s="537" t="str">
        <f>IF(AND($G32=Lists!$D$42,$D32=DE$7),$F32,"")</f>
        <v/>
      </c>
    </row>
    <row r="33" spans="1:109">
      <c r="A33" s="532"/>
      <c r="B33" s="137"/>
      <c r="C33" s="139"/>
      <c r="D33" s="120" t="s">
        <v>1803</v>
      </c>
      <c r="E33" s="89"/>
      <c r="F33" s="128"/>
      <c r="G33" s="55" t="s">
        <v>1779</v>
      </c>
      <c r="H33" s="536"/>
      <c r="I33" s="537" t="str">
        <f t="shared" si="19"/>
        <v/>
      </c>
      <c r="J33" s="537" t="str">
        <f t="shared" si="19"/>
        <v/>
      </c>
      <c r="K33" s="537" t="str">
        <f t="shared" si="19"/>
        <v/>
      </c>
      <c r="L33" s="537" t="str">
        <f t="shared" si="17"/>
        <v/>
      </c>
      <c r="M33" s="537" t="str">
        <f t="shared" si="17"/>
        <v/>
      </c>
      <c r="N33" s="537" t="str">
        <f t="shared" si="19"/>
        <v/>
      </c>
      <c r="O33" s="537" t="str">
        <f t="shared" si="19"/>
        <v/>
      </c>
      <c r="P33" s="537" t="str">
        <f t="shared" si="19"/>
        <v/>
      </c>
      <c r="Q33" s="537" t="str">
        <f t="shared" si="19"/>
        <v/>
      </c>
      <c r="R33" s="537" t="str">
        <f t="shared" ref="R33:AG34" si="21">IF($D33=R$7,$E33,"")</f>
        <v/>
      </c>
      <c r="S33" s="537" t="str">
        <f t="shared" si="21"/>
        <v/>
      </c>
      <c r="T33" s="537" t="str">
        <f t="shared" si="21"/>
        <v/>
      </c>
      <c r="U33" s="537" t="str">
        <f t="shared" si="21"/>
        <v/>
      </c>
      <c r="V33" s="537" t="str">
        <f t="shared" si="21"/>
        <v/>
      </c>
      <c r="W33" s="537" t="str">
        <f t="shared" si="21"/>
        <v/>
      </c>
      <c r="X33" s="537" t="str">
        <f t="shared" si="21"/>
        <v/>
      </c>
      <c r="Y33" s="537" t="str">
        <f t="shared" si="21"/>
        <v/>
      </c>
      <c r="Z33" s="537" t="str">
        <f t="shared" si="21"/>
        <v/>
      </c>
      <c r="AA33" s="537" t="str">
        <f t="shared" si="21"/>
        <v/>
      </c>
      <c r="AB33" s="537" t="str">
        <f t="shared" si="21"/>
        <v/>
      </c>
      <c r="AC33" s="537" t="str">
        <f t="shared" si="21"/>
        <v/>
      </c>
      <c r="AD33" s="537" t="str">
        <f t="shared" si="21"/>
        <v/>
      </c>
      <c r="AE33" s="537" t="str">
        <f t="shared" si="18"/>
        <v/>
      </c>
      <c r="AF33" s="537" t="str">
        <f t="shared" si="21"/>
        <v/>
      </c>
      <c r="AG33" s="537">
        <f t="shared" si="21"/>
        <v>0</v>
      </c>
      <c r="AH33" s="537" t="str">
        <f t="shared" si="20"/>
        <v/>
      </c>
      <c r="AI33" s="537" t="str">
        <f t="shared" si="20"/>
        <v/>
      </c>
      <c r="AJ33" s="537" t="str">
        <f t="shared" si="20"/>
        <v/>
      </c>
      <c r="AK33" s="537" t="str">
        <f t="shared" si="20"/>
        <v/>
      </c>
      <c r="AL33" s="537" t="str">
        <f t="shared" si="20"/>
        <v/>
      </c>
      <c r="AM33" s="537" t="str">
        <f t="shared" si="20"/>
        <v/>
      </c>
      <c r="AN33" s="537" t="str">
        <f t="shared" si="20"/>
        <v/>
      </c>
      <c r="AO33" s="537" t="str">
        <f t="shared" si="20"/>
        <v/>
      </c>
      <c r="AQ33" s="537" t="str">
        <f>IF(AND($G33=Lists!$D$41,$D33=AQ$7),$F33,"")</f>
        <v/>
      </c>
      <c r="AR33" s="537" t="str">
        <f>IF(AND($G33=Lists!$D$41,$D33=AR$7),$F33,"")</f>
        <v/>
      </c>
      <c r="AS33" s="537" t="str">
        <f>IF(AND($G33=Lists!$D$41,$D33=AS$7),$F33,"")</f>
        <v/>
      </c>
      <c r="AT33" s="537" t="str">
        <f>IF(AND($G33=Lists!$D$41,$D33=AT$7),$F33,"")</f>
        <v/>
      </c>
      <c r="AU33" s="537" t="str">
        <f>IF(AND($G33=Lists!$D$41,$D33=AU$7),$F33,"")</f>
        <v/>
      </c>
      <c r="AV33" s="537" t="str">
        <f>IF(AND($G33=Lists!$D$41,$D33=AV$7),$F33,"")</f>
        <v/>
      </c>
      <c r="AW33" s="537" t="str">
        <f>IF(AND($G33=Lists!$D$41,$D33=AW$7),$F33,"")</f>
        <v/>
      </c>
      <c r="AX33" s="537" t="str">
        <f>IF(AND($G33=Lists!$D$41,$D33=AX$7),$F33,"")</f>
        <v/>
      </c>
      <c r="AY33" s="537" t="str">
        <f>IF(AND($G33=Lists!$D$41,$D33=AY$7),$F33,"")</f>
        <v/>
      </c>
      <c r="AZ33" s="537" t="str">
        <f>IF(AND($G33=Lists!$D$41,$D33=AZ$7),$F33,"")</f>
        <v/>
      </c>
      <c r="BA33" s="537" t="str">
        <f>IF(AND($G33=Lists!$D$41,$D33=BA$7),$F33,"")</f>
        <v/>
      </c>
      <c r="BB33" s="537" t="str">
        <f>IF(AND($G33=Lists!$D$41,$D33=BB$7),$F33,"")</f>
        <v/>
      </c>
      <c r="BC33" s="537" t="str">
        <f>IF(AND($G33=Lists!$D$41,$D33=BC$7),$F33,"")</f>
        <v/>
      </c>
      <c r="BD33" s="537" t="str">
        <f>IF(AND($G33=Lists!$D$41,$D33=BD$7),$F33,"")</f>
        <v/>
      </c>
      <c r="BE33" s="537" t="str">
        <f>IF(AND($G33=Lists!$D$41,$D33=BE$7),$F33,"")</f>
        <v/>
      </c>
      <c r="BF33" s="537" t="str">
        <f>IF(AND($G33=Lists!$D$41,$D33=BF$7),$F33,"")</f>
        <v/>
      </c>
      <c r="BG33" s="537" t="str">
        <f>IF(AND($G33=Lists!$D$41,$D33=BG$7),$F33,"")</f>
        <v/>
      </c>
      <c r="BH33" s="537" t="str">
        <f>IF(AND($G33=Lists!$D$41,$D33=BH$7),$F33,"")</f>
        <v/>
      </c>
      <c r="BI33" s="537" t="str">
        <f>IF(AND($G33=Lists!$D$41,$D33=BI$7),$F33,"")</f>
        <v/>
      </c>
      <c r="BJ33" s="537" t="str">
        <f>IF(AND($G33=Lists!$D$41,$D33=BJ$7),$F33,"")</f>
        <v/>
      </c>
      <c r="BK33" s="537" t="str">
        <f>IF(AND($G33=Lists!$D$41,$D33=BK$7),$F33,"")</f>
        <v/>
      </c>
      <c r="BL33" s="537" t="str">
        <f>IF(AND($G33=Lists!$D$41,$D33=BL$7),$F33,"")</f>
        <v/>
      </c>
      <c r="BM33" s="537" t="str">
        <f>IF(AND($G33=Lists!$D$41,$D33=BM$7),$F33,"")</f>
        <v/>
      </c>
      <c r="BN33" s="537" t="str">
        <f>IF(AND($G33=Lists!$D$41,$D33=BN$7),$F33,"")</f>
        <v/>
      </c>
      <c r="BO33" s="537">
        <f>IF(AND($G33=Lists!$D$41,$D33=BO$7),$F33,"")</f>
        <v>0</v>
      </c>
      <c r="BP33" s="537" t="str">
        <f>IF(AND($G33=Lists!$D$41,$D33=BP$7),$F33,"")</f>
        <v/>
      </c>
      <c r="BQ33" s="537" t="str">
        <f>IF(AND($G33=Lists!$D$41,$D33=BQ$7),$F33,"")</f>
        <v/>
      </c>
      <c r="BR33" s="537" t="str">
        <f>IF(AND($G33=Lists!$D$41,$D33=BR$7),$F33,"")</f>
        <v/>
      </c>
      <c r="BS33" s="537" t="str">
        <f>IF(AND($G33=Lists!$D$41,$D33=BS$7),$F33,"")</f>
        <v/>
      </c>
      <c r="BT33" s="537" t="str">
        <f>IF(AND($G33=Lists!$D$41,$D33=BT$7),$F33,"")</f>
        <v/>
      </c>
      <c r="BU33" s="537" t="str">
        <f>IF(AND($G33=Lists!$D$41,$D33=BU$7),$F33,"")</f>
        <v/>
      </c>
      <c r="BV33" s="537" t="str">
        <f>IF(AND($G33=Lists!$D$41,$D33=BV$7),$F33,"")</f>
        <v/>
      </c>
      <c r="BW33" s="537" t="str">
        <f>IF(AND($G33=Lists!$D$41,$D33=BW$7),$F33,"")</f>
        <v/>
      </c>
      <c r="BY33" s="537" t="str">
        <f>IF(AND($G33=Lists!$D$42,$D33=BY$7),$F33,"")</f>
        <v/>
      </c>
      <c r="BZ33" s="537" t="str">
        <f>IF(AND($G33=Lists!$D$42,$D33=BZ$7),$F33,"")</f>
        <v/>
      </c>
      <c r="CA33" s="537" t="str">
        <f>IF(AND($G33=Lists!$D$42,$D33=CA$7),$F33,"")</f>
        <v/>
      </c>
      <c r="CB33" s="537" t="str">
        <f>IF(AND($G33=Lists!$D$42,$D33=CB$7),$F33,"")</f>
        <v/>
      </c>
      <c r="CC33" s="537" t="str">
        <f>IF(AND($G33=Lists!$D$42,$D33=CC$7),$F33,"")</f>
        <v/>
      </c>
      <c r="CD33" s="537" t="str">
        <f>IF(AND($G33=Lists!$D$42,$D33=CD$7),$F33,"")</f>
        <v/>
      </c>
      <c r="CE33" s="537" t="str">
        <f>IF(AND($G33=Lists!$D$42,$D33=CE$7),$F33,"")</f>
        <v/>
      </c>
      <c r="CF33" s="537" t="str">
        <f>IF(AND($G33=Lists!$D$42,$D33=CF$7),$F33,"")</f>
        <v/>
      </c>
      <c r="CG33" s="537" t="str">
        <f>IF(AND($G33=Lists!$D$42,$D33=CG$7),$F33,"")</f>
        <v/>
      </c>
      <c r="CH33" s="537" t="str">
        <f>IF(AND($G33=Lists!$D$42,$D33=CH$7),$F33,"")</f>
        <v/>
      </c>
      <c r="CI33" s="537" t="str">
        <f>IF(AND($G33=Lists!$D$42,$D33=CI$7),$F33,"")</f>
        <v/>
      </c>
      <c r="CJ33" s="537" t="str">
        <f>IF(AND($G33=Lists!$D$42,$D33=CJ$7),$F33,"")</f>
        <v/>
      </c>
      <c r="CK33" s="537" t="str">
        <f>IF(AND($G33=Lists!$D$42,$D33=CK$7),$F33,"")</f>
        <v/>
      </c>
      <c r="CL33" s="537" t="str">
        <f>IF(AND($G33=Lists!$D$42,$D33=CL$7),$F33,"")</f>
        <v/>
      </c>
      <c r="CM33" s="537" t="str">
        <f>IF(AND($G33=Lists!$D$42,$D33=CM$7),$F33,"")</f>
        <v/>
      </c>
      <c r="CN33" s="537" t="str">
        <f>IF(AND($G33=Lists!$D$42,$D33=CN$7),$F33,"")</f>
        <v/>
      </c>
      <c r="CO33" s="537" t="str">
        <f>IF(AND($G33=Lists!$D$42,$D33=CO$7),$F33,"")</f>
        <v/>
      </c>
      <c r="CP33" s="537" t="str">
        <f>IF(AND($G33=Lists!$D$42,$D33=CP$7),$F33,"")</f>
        <v/>
      </c>
      <c r="CQ33" s="537" t="str">
        <f>IF(AND($G33=Lists!$D$42,$D33=CQ$7),$F33,"")</f>
        <v/>
      </c>
      <c r="CR33" s="537" t="str">
        <f>IF(AND($G33=Lists!$D$42,$D33=CR$7),$F33,"")</f>
        <v/>
      </c>
      <c r="CS33" s="537" t="str">
        <f>IF(AND($G33=Lists!$D$42,$D33=CS$7),$F33,"")</f>
        <v/>
      </c>
      <c r="CT33" s="537" t="str">
        <f>IF(AND($G33=Lists!$D$42,$D33=CT$7),$F33,"")</f>
        <v/>
      </c>
      <c r="CU33" s="537" t="str">
        <f>IF(AND($G33=Lists!$D$42,$D33=CU$7),$F33,"")</f>
        <v/>
      </c>
      <c r="CV33" s="537" t="str">
        <f>IF(AND($G33=Lists!$D$42,$D33=CV$7),$F33,"")</f>
        <v/>
      </c>
      <c r="CW33" s="537" t="str">
        <f>IF(AND($G33=Lists!$D$42,$D33=CW$7),$F33,"")</f>
        <v/>
      </c>
      <c r="CX33" s="537" t="str">
        <f>IF(AND($G33=Lists!$D$42,$D33=CX$7),$F33,"")</f>
        <v/>
      </c>
      <c r="CY33" s="537" t="str">
        <f>IF(AND($G33=Lists!$D$42,$D33=CY$7),$F33,"")</f>
        <v/>
      </c>
      <c r="CZ33" s="537" t="str">
        <f>IF(AND($G33=Lists!$D$42,$D33=CZ$7),$F33,"")</f>
        <v/>
      </c>
      <c r="DA33" s="537" t="str">
        <f>IF(AND($G33=Lists!$D$42,$D33=DA$7),$F33,"")</f>
        <v/>
      </c>
      <c r="DB33" s="537" t="str">
        <f>IF(AND($G33=Lists!$D$42,$D33=DB$7),$F33,"")</f>
        <v/>
      </c>
      <c r="DC33" s="537"/>
      <c r="DD33" s="537"/>
      <c r="DE33" s="537" t="str">
        <f>IF(AND($G33=Lists!$D$42,$D33=DE$7),$F33,"")</f>
        <v/>
      </c>
    </row>
    <row r="34" spans="1:109">
      <c r="A34" s="532"/>
      <c r="B34" s="137"/>
      <c r="C34" s="139"/>
      <c r="D34" s="120" t="s">
        <v>1804</v>
      </c>
      <c r="E34" s="89"/>
      <c r="F34" s="128"/>
      <c r="G34" s="55" t="s">
        <v>1779</v>
      </c>
      <c r="H34" s="536"/>
      <c r="I34" s="537" t="str">
        <f t="shared" ref="I34:Z43" si="22">IF($D34=I$7,$E34,"")</f>
        <v/>
      </c>
      <c r="J34" s="537" t="str">
        <f t="shared" si="22"/>
        <v/>
      </c>
      <c r="K34" s="537" t="str">
        <f t="shared" si="22"/>
        <v/>
      </c>
      <c r="L34" s="537" t="str">
        <f t="shared" si="17"/>
        <v/>
      </c>
      <c r="M34" s="537" t="str">
        <f t="shared" si="17"/>
        <v/>
      </c>
      <c r="N34" s="537" t="str">
        <f t="shared" si="22"/>
        <v/>
      </c>
      <c r="O34" s="537" t="str">
        <f t="shared" si="22"/>
        <v/>
      </c>
      <c r="P34" s="537" t="str">
        <f t="shared" si="22"/>
        <v/>
      </c>
      <c r="Q34" s="537" t="str">
        <f t="shared" si="22"/>
        <v/>
      </c>
      <c r="R34" s="537" t="str">
        <f t="shared" si="22"/>
        <v/>
      </c>
      <c r="S34" s="537" t="str">
        <f t="shared" si="22"/>
        <v/>
      </c>
      <c r="T34" s="537" t="str">
        <f t="shared" si="22"/>
        <v/>
      </c>
      <c r="U34" s="537" t="str">
        <f t="shared" si="22"/>
        <v/>
      </c>
      <c r="V34" s="537" t="str">
        <f t="shared" si="22"/>
        <v/>
      </c>
      <c r="W34" s="537" t="str">
        <f t="shared" si="22"/>
        <v/>
      </c>
      <c r="X34" s="537" t="str">
        <f t="shared" si="22"/>
        <v/>
      </c>
      <c r="Y34" s="537" t="str">
        <f t="shared" si="22"/>
        <v/>
      </c>
      <c r="Z34" s="537" t="str">
        <f t="shared" si="22"/>
        <v/>
      </c>
      <c r="AA34" s="537" t="str">
        <f t="shared" si="21"/>
        <v/>
      </c>
      <c r="AB34" s="537" t="str">
        <f t="shared" si="21"/>
        <v/>
      </c>
      <c r="AC34" s="537" t="str">
        <f t="shared" si="21"/>
        <v/>
      </c>
      <c r="AD34" s="537" t="str">
        <f t="shared" si="21"/>
        <v/>
      </c>
      <c r="AE34" s="537" t="str">
        <f t="shared" si="18"/>
        <v/>
      </c>
      <c r="AF34" s="537" t="str">
        <f t="shared" si="21"/>
        <v/>
      </c>
      <c r="AG34" s="537" t="str">
        <f t="shared" si="21"/>
        <v/>
      </c>
      <c r="AH34" s="537">
        <f t="shared" si="20"/>
        <v>0</v>
      </c>
      <c r="AI34" s="537" t="str">
        <f t="shared" si="20"/>
        <v/>
      </c>
      <c r="AJ34" s="537" t="str">
        <f t="shared" si="20"/>
        <v/>
      </c>
      <c r="AK34" s="537" t="str">
        <f t="shared" si="20"/>
        <v/>
      </c>
      <c r="AL34" s="537" t="str">
        <f t="shared" si="20"/>
        <v/>
      </c>
      <c r="AM34" s="537" t="str">
        <f t="shared" si="20"/>
        <v/>
      </c>
      <c r="AN34" s="537" t="str">
        <f t="shared" si="20"/>
        <v/>
      </c>
      <c r="AO34" s="537" t="str">
        <f t="shared" ref="J34:AO43" si="23">IF($D34=AO$7,$E34,"")</f>
        <v/>
      </c>
      <c r="AQ34" s="537" t="str">
        <f>IF(AND($G34=Lists!$D$41,$D34=AQ$7),$F34,"")</f>
        <v/>
      </c>
      <c r="AR34" s="537" t="str">
        <f>IF(AND($G34=Lists!$D$41,$D34=AR$7),$F34,"")</f>
        <v/>
      </c>
      <c r="AS34" s="537" t="str">
        <f>IF(AND($G34=Lists!$D$41,$D34=AS$7),$F34,"")</f>
        <v/>
      </c>
      <c r="AT34" s="537" t="str">
        <f>IF(AND($G34=Lists!$D$41,$D34=AT$7),$F34,"")</f>
        <v/>
      </c>
      <c r="AU34" s="537" t="str">
        <f>IF(AND($G34=Lists!$D$41,$D34=AU$7),$F34,"")</f>
        <v/>
      </c>
      <c r="AV34" s="537" t="str">
        <f>IF(AND($G34=Lists!$D$41,$D34=AV$7),$F34,"")</f>
        <v/>
      </c>
      <c r="AW34" s="537" t="str">
        <f>IF(AND($G34=Lists!$D$41,$D34=AW$7),$F34,"")</f>
        <v/>
      </c>
      <c r="AX34" s="537" t="str">
        <f>IF(AND($G34=Lists!$D$41,$D34=AX$7),$F34,"")</f>
        <v/>
      </c>
      <c r="AY34" s="537" t="str">
        <f>IF(AND($G34=Lists!$D$41,$D34=AY$7),$F34,"")</f>
        <v/>
      </c>
      <c r="AZ34" s="537" t="str">
        <f>IF(AND($G34=Lists!$D$41,$D34=AZ$7),$F34,"")</f>
        <v/>
      </c>
      <c r="BA34" s="537" t="str">
        <f>IF(AND($G34=Lists!$D$41,$D34=BA$7),$F34,"")</f>
        <v/>
      </c>
      <c r="BB34" s="537" t="str">
        <f>IF(AND($G34=Lists!$D$41,$D34=BB$7),$F34,"")</f>
        <v/>
      </c>
      <c r="BC34" s="537" t="str">
        <f>IF(AND($G34=Lists!$D$41,$D34=BC$7),$F34,"")</f>
        <v/>
      </c>
      <c r="BD34" s="537" t="str">
        <f>IF(AND($G34=Lists!$D$41,$D34=BD$7),$F34,"")</f>
        <v/>
      </c>
      <c r="BE34" s="537" t="str">
        <f>IF(AND($G34=Lists!$D$41,$D34=BE$7),$F34,"")</f>
        <v/>
      </c>
      <c r="BF34" s="537" t="str">
        <f>IF(AND($G34=Lists!$D$41,$D34=BF$7),$F34,"")</f>
        <v/>
      </c>
      <c r="BG34" s="537" t="str">
        <f>IF(AND($G34=Lists!$D$41,$D34=BG$7),$F34,"")</f>
        <v/>
      </c>
      <c r="BH34" s="537" t="str">
        <f>IF(AND($G34=Lists!$D$41,$D34=BH$7),$F34,"")</f>
        <v/>
      </c>
      <c r="BI34" s="537" t="str">
        <f>IF(AND($G34=Lists!$D$41,$D34=BI$7),$F34,"")</f>
        <v/>
      </c>
      <c r="BJ34" s="537" t="str">
        <f>IF(AND($G34=Lists!$D$41,$D34=BJ$7),$F34,"")</f>
        <v/>
      </c>
      <c r="BK34" s="537" t="str">
        <f>IF(AND($G34=Lists!$D$41,$D34=BK$7),$F34,"")</f>
        <v/>
      </c>
      <c r="BL34" s="537" t="str">
        <f>IF(AND($G34=Lists!$D$41,$D34=BL$7),$F34,"")</f>
        <v/>
      </c>
      <c r="BM34" s="537" t="str">
        <f>IF(AND($G34=Lists!$D$41,$D34=BM$7),$F34,"")</f>
        <v/>
      </c>
      <c r="BN34" s="537" t="str">
        <f>IF(AND($G34=Lists!$D$41,$D34=BN$7),$F34,"")</f>
        <v/>
      </c>
      <c r="BO34" s="537" t="str">
        <f>IF(AND($G34=Lists!$D$41,$D34=BO$7),$F34,"")</f>
        <v/>
      </c>
      <c r="BP34" s="537">
        <f>IF(AND($G34=Lists!$D$41,$D34=BP$7),$F34,"")</f>
        <v>0</v>
      </c>
      <c r="BQ34" s="537" t="str">
        <f>IF(AND($G34=Lists!$D$41,$D34=BQ$7),$F34,"")</f>
        <v/>
      </c>
      <c r="BR34" s="537" t="str">
        <f>IF(AND($G34=Lists!$D$41,$D34=BR$7),$F34,"")</f>
        <v/>
      </c>
      <c r="BS34" s="537" t="str">
        <f>IF(AND($G34=Lists!$D$41,$D34=BS$7),$F34,"")</f>
        <v/>
      </c>
      <c r="BT34" s="537" t="str">
        <f>IF(AND($G34=Lists!$D$41,$D34=BT$7),$F34,"")</f>
        <v/>
      </c>
      <c r="BU34" s="537" t="str">
        <f>IF(AND($G34=Lists!$D$41,$D34=BU$7),$F34,"")</f>
        <v/>
      </c>
      <c r="BV34" s="537" t="str">
        <f>IF(AND($G34=Lists!$D$41,$D34=BV$7),$F34,"")</f>
        <v/>
      </c>
      <c r="BW34" s="537" t="str">
        <f>IF(AND($G34=Lists!$D$41,$D34=BW$7),$F34,"")</f>
        <v/>
      </c>
      <c r="BY34" s="537" t="str">
        <f>IF(AND($G34=Lists!$D$42,$D34=BY$7),$F34,"")</f>
        <v/>
      </c>
      <c r="BZ34" s="537" t="str">
        <f>IF(AND($G34=Lists!$D$42,$D34=BZ$7),$F34,"")</f>
        <v/>
      </c>
      <c r="CA34" s="537" t="str">
        <f>IF(AND($G34=Lists!$D$42,$D34=CA$7),$F34,"")</f>
        <v/>
      </c>
      <c r="CB34" s="537" t="str">
        <f>IF(AND($G34=Lists!$D$42,$D34=CB$7),$F34,"")</f>
        <v/>
      </c>
      <c r="CC34" s="537" t="str">
        <f>IF(AND($G34=Lists!$D$42,$D34=CC$7),$F34,"")</f>
        <v/>
      </c>
      <c r="CD34" s="537" t="str">
        <f>IF(AND($G34=Lists!$D$42,$D34=CD$7),$F34,"")</f>
        <v/>
      </c>
      <c r="CE34" s="537" t="str">
        <f>IF(AND($G34=Lists!$D$42,$D34=CE$7),$F34,"")</f>
        <v/>
      </c>
      <c r="CF34" s="537" t="str">
        <f>IF(AND($G34=Lists!$D$42,$D34=CF$7),$F34,"")</f>
        <v/>
      </c>
      <c r="CG34" s="537" t="str">
        <f>IF(AND($G34=Lists!$D$42,$D34=CG$7),$F34,"")</f>
        <v/>
      </c>
      <c r="CH34" s="537" t="str">
        <f>IF(AND($G34=Lists!$D$42,$D34=CH$7),$F34,"")</f>
        <v/>
      </c>
      <c r="CI34" s="537" t="str">
        <f>IF(AND($G34=Lists!$D$42,$D34=CI$7),$F34,"")</f>
        <v/>
      </c>
      <c r="CJ34" s="537" t="str">
        <f>IF(AND($G34=Lists!$D$42,$D34=CJ$7),$F34,"")</f>
        <v/>
      </c>
      <c r="CK34" s="537" t="str">
        <f>IF(AND($G34=Lists!$D$42,$D34=CK$7),$F34,"")</f>
        <v/>
      </c>
      <c r="CL34" s="537" t="str">
        <f>IF(AND($G34=Lists!$D$42,$D34=CL$7),$F34,"")</f>
        <v/>
      </c>
      <c r="CM34" s="537" t="str">
        <f>IF(AND($G34=Lists!$D$42,$D34=CM$7),$F34,"")</f>
        <v/>
      </c>
      <c r="CN34" s="537" t="str">
        <f>IF(AND($G34=Lists!$D$42,$D34=CN$7),$F34,"")</f>
        <v/>
      </c>
      <c r="CO34" s="537" t="str">
        <f>IF(AND($G34=Lists!$D$42,$D34=CO$7),$F34,"")</f>
        <v/>
      </c>
      <c r="CP34" s="537" t="str">
        <f>IF(AND($G34=Lists!$D$42,$D34=CP$7),$F34,"")</f>
        <v/>
      </c>
      <c r="CQ34" s="537" t="str">
        <f>IF(AND($G34=Lists!$D$42,$D34=CQ$7),$F34,"")</f>
        <v/>
      </c>
      <c r="CR34" s="537" t="str">
        <f>IF(AND($G34=Lists!$D$42,$D34=CR$7),$F34,"")</f>
        <v/>
      </c>
      <c r="CS34" s="537" t="str">
        <f>IF(AND($G34=Lists!$D$42,$D34=CS$7),$F34,"")</f>
        <v/>
      </c>
      <c r="CT34" s="537" t="str">
        <f>IF(AND($G34=Lists!$D$42,$D34=CT$7),$F34,"")</f>
        <v/>
      </c>
      <c r="CU34" s="537" t="str">
        <f>IF(AND($G34=Lists!$D$42,$D34=CU$7),$F34,"")</f>
        <v/>
      </c>
      <c r="CV34" s="537" t="str">
        <f>IF(AND($G34=Lists!$D$42,$D34=CV$7),$F34,"")</f>
        <v/>
      </c>
      <c r="CW34" s="537" t="str">
        <f>IF(AND($G34=Lists!$D$42,$D34=CW$7),$F34,"")</f>
        <v/>
      </c>
      <c r="CX34" s="537" t="str">
        <f>IF(AND($G34=Lists!$D$42,$D34=CX$7),$F34,"")</f>
        <v/>
      </c>
      <c r="CY34" s="537" t="str">
        <f>IF(AND($G34=Lists!$D$42,$D34=CY$7),$F34,"")</f>
        <v/>
      </c>
      <c r="CZ34" s="537" t="str">
        <f>IF(AND($G34=Lists!$D$42,$D34=CZ$7),$F34,"")</f>
        <v/>
      </c>
      <c r="DA34" s="537" t="str">
        <f>IF(AND($G34=Lists!$D$42,$D34=DA$7),$F34,"")</f>
        <v/>
      </c>
      <c r="DB34" s="537" t="str">
        <f>IF(AND($G34=Lists!$D$42,$D34=DB$7),$F34,"")</f>
        <v/>
      </c>
      <c r="DC34" s="537"/>
      <c r="DD34" s="537"/>
      <c r="DE34" s="537" t="str">
        <f>IF(AND($G34=Lists!$D$42,$D34=DE$7),$F34,"")</f>
        <v/>
      </c>
    </row>
    <row r="35" spans="1:109">
      <c r="A35" s="532"/>
      <c r="B35" s="137"/>
      <c r="C35" s="139"/>
      <c r="D35" s="120" t="s">
        <v>1805</v>
      </c>
      <c r="E35" s="89"/>
      <c r="F35" s="128"/>
      <c r="G35" s="55" t="s">
        <v>1779</v>
      </c>
      <c r="H35" s="536"/>
      <c r="I35" s="537" t="str">
        <f t="shared" si="22"/>
        <v/>
      </c>
      <c r="J35" s="537" t="str">
        <f t="shared" si="23"/>
        <v/>
      </c>
      <c r="K35" s="537" t="str">
        <f t="shared" si="23"/>
        <v/>
      </c>
      <c r="L35" s="537" t="str">
        <f t="shared" si="17"/>
        <v/>
      </c>
      <c r="M35" s="537" t="str">
        <f t="shared" si="17"/>
        <v/>
      </c>
      <c r="N35" s="537" t="str">
        <f t="shared" si="23"/>
        <v/>
      </c>
      <c r="O35" s="537" t="str">
        <f t="shared" si="23"/>
        <v/>
      </c>
      <c r="P35" s="537" t="str">
        <f t="shared" si="23"/>
        <v/>
      </c>
      <c r="Q35" s="537" t="str">
        <f t="shared" si="23"/>
        <v/>
      </c>
      <c r="R35" s="537" t="str">
        <f t="shared" si="23"/>
        <v/>
      </c>
      <c r="S35" s="537" t="str">
        <f t="shared" si="23"/>
        <v/>
      </c>
      <c r="T35" s="537" t="str">
        <f t="shared" si="23"/>
        <v/>
      </c>
      <c r="U35" s="537" t="str">
        <f t="shared" si="23"/>
        <v/>
      </c>
      <c r="V35" s="537" t="str">
        <f t="shared" si="23"/>
        <v/>
      </c>
      <c r="W35" s="537" t="str">
        <f t="shared" si="23"/>
        <v/>
      </c>
      <c r="X35" s="537" t="str">
        <f t="shared" si="23"/>
        <v/>
      </c>
      <c r="Y35" s="537" t="str">
        <f t="shared" si="23"/>
        <v/>
      </c>
      <c r="Z35" s="537" t="str">
        <f t="shared" si="23"/>
        <v/>
      </c>
      <c r="AA35" s="537" t="str">
        <f t="shared" si="23"/>
        <v/>
      </c>
      <c r="AB35" s="537" t="str">
        <f t="shared" si="23"/>
        <v/>
      </c>
      <c r="AC35" s="537" t="str">
        <f t="shared" si="23"/>
        <v/>
      </c>
      <c r="AD35" s="537" t="str">
        <f t="shared" si="23"/>
        <v/>
      </c>
      <c r="AE35" s="537" t="str">
        <f t="shared" si="18"/>
        <v/>
      </c>
      <c r="AF35" s="537" t="str">
        <f t="shared" si="23"/>
        <v/>
      </c>
      <c r="AG35" s="537" t="str">
        <f t="shared" si="23"/>
        <v/>
      </c>
      <c r="AH35" s="537" t="str">
        <f t="shared" si="23"/>
        <v/>
      </c>
      <c r="AI35" s="537">
        <f t="shared" si="23"/>
        <v>0</v>
      </c>
      <c r="AJ35" s="537" t="str">
        <f t="shared" si="23"/>
        <v/>
      </c>
      <c r="AK35" s="537" t="str">
        <f t="shared" si="23"/>
        <v/>
      </c>
      <c r="AL35" s="537" t="str">
        <f t="shared" si="23"/>
        <v/>
      </c>
      <c r="AM35" s="537" t="str">
        <f t="shared" si="23"/>
        <v/>
      </c>
      <c r="AN35" s="537" t="str">
        <f t="shared" si="23"/>
        <v/>
      </c>
      <c r="AO35" s="537" t="str">
        <f t="shared" si="23"/>
        <v/>
      </c>
      <c r="AQ35" s="537" t="str">
        <f>IF(AND($G35=Lists!$D$41,$D35=AQ$7),$F35,"")</f>
        <v/>
      </c>
      <c r="AR35" s="537" t="str">
        <f>IF(AND($G35=Lists!$D$41,$D35=AR$7),$F35,"")</f>
        <v/>
      </c>
      <c r="AS35" s="537" t="str">
        <f>IF(AND($G35=Lists!$D$41,$D35=AS$7),$F35,"")</f>
        <v/>
      </c>
      <c r="AT35" s="537" t="str">
        <f>IF(AND($G35=Lists!$D$41,$D35=AT$7),$F35,"")</f>
        <v/>
      </c>
      <c r="AU35" s="537" t="str">
        <f>IF(AND($G35=Lists!$D$41,$D35=AU$7),$F35,"")</f>
        <v/>
      </c>
      <c r="AV35" s="537" t="str">
        <f>IF(AND($G35=Lists!$D$41,$D35=AV$7),$F35,"")</f>
        <v/>
      </c>
      <c r="AW35" s="537" t="str">
        <f>IF(AND($G35=Lists!$D$41,$D35=AW$7),$F35,"")</f>
        <v/>
      </c>
      <c r="AX35" s="537" t="str">
        <f>IF(AND($G35=Lists!$D$41,$D35=AX$7),$F35,"")</f>
        <v/>
      </c>
      <c r="AY35" s="537" t="str">
        <f>IF(AND($G35=Lists!$D$41,$D35=AY$7),$F35,"")</f>
        <v/>
      </c>
      <c r="AZ35" s="537" t="str">
        <f>IF(AND($G35=Lists!$D$41,$D35=AZ$7),$F35,"")</f>
        <v/>
      </c>
      <c r="BA35" s="537" t="str">
        <f>IF(AND($G35=Lists!$D$41,$D35=BA$7),$F35,"")</f>
        <v/>
      </c>
      <c r="BB35" s="537" t="str">
        <f>IF(AND($G35=Lists!$D$41,$D35=BB$7),$F35,"")</f>
        <v/>
      </c>
      <c r="BC35" s="537" t="str">
        <f>IF(AND($G35=Lists!$D$41,$D35=BC$7),$F35,"")</f>
        <v/>
      </c>
      <c r="BD35" s="537" t="str">
        <f>IF(AND($G35=Lists!$D$41,$D35=BD$7),$F35,"")</f>
        <v/>
      </c>
      <c r="BE35" s="537" t="str">
        <f>IF(AND($G35=Lists!$D$41,$D35=BE$7),$F35,"")</f>
        <v/>
      </c>
      <c r="BF35" s="537" t="str">
        <f>IF(AND($G35=Lists!$D$41,$D35=BF$7),$F35,"")</f>
        <v/>
      </c>
      <c r="BG35" s="537" t="str">
        <f>IF(AND($G35=Lists!$D$41,$D35=BG$7),$F35,"")</f>
        <v/>
      </c>
      <c r="BH35" s="537" t="str">
        <f>IF(AND($G35=Lists!$D$41,$D35=BH$7),$F35,"")</f>
        <v/>
      </c>
      <c r="BI35" s="537" t="str">
        <f>IF(AND($G35=Lists!$D$41,$D35=BI$7),$F35,"")</f>
        <v/>
      </c>
      <c r="BJ35" s="537" t="str">
        <f>IF(AND($G35=Lists!$D$41,$D35=BJ$7),$F35,"")</f>
        <v/>
      </c>
      <c r="BK35" s="537" t="str">
        <f>IF(AND($G35=Lists!$D$41,$D35=BK$7),$F35,"")</f>
        <v/>
      </c>
      <c r="BL35" s="537" t="str">
        <f>IF(AND($G35=Lists!$D$41,$D35=BL$7),$F35,"")</f>
        <v/>
      </c>
      <c r="BM35" s="537" t="str">
        <f>IF(AND($G35=Lists!$D$41,$D35=BM$7),$F35,"")</f>
        <v/>
      </c>
      <c r="BN35" s="537" t="str">
        <f>IF(AND($G35=Lists!$D$41,$D35=BN$7),$F35,"")</f>
        <v/>
      </c>
      <c r="BO35" s="537" t="str">
        <f>IF(AND($G35=Lists!$D$41,$D35=BO$7),$F35,"")</f>
        <v/>
      </c>
      <c r="BP35" s="537" t="str">
        <f>IF(AND($G35=Lists!$D$41,$D35=BP$7),$F35,"")</f>
        <v/>
      </c>
      <c r="BQ35" s="537">
        <f>IF(AND($G35=Lists!$D$41,$D35=BQ$7),$F35,"")</f>
        <v>0</v>
      </c>
      <c r="BR35" s="537" t="str">
        <f>IF(AND($G35=Lists!$D$41,$D35=BR$7),$F35,"")</f>
        <v/>
      </c>
      <c r="BS35" s="537" t="str">
        <f>IF(AND($G35=Lists!$D$41,$D35=BS$7),$F35,"")</f>
        <v/>
      </c>
      <c r="BT35" s="537" t="str">
        <f>IF(AND($G35=Lists!$D$41,$D35=BT$7),$F35,"")</f>
        <v/>
      </c>
      <c r="BU35" s="537" t="str">
        <f>IF(AND($G35=Lists!$D$41,$D35=BU$7),$F35,"")</f>
        <v/>
      </c>
      <c r="BV35" s="537" t="str">
        <f>IF(AND($G35=Lists!$D$41,$D35=BV$7),$F35,"")</f>
        <v/>
      </c>
      <c r="BW35" s="537" t="str">
        <f>IF(AND($G35=Lists!$D$41,$D35=BW$7),$F35,"")</f>
        <v/>
      </c>
      <c r="BY35" s="537" t="str">
        <f>IF(AND($G35=Lists!$D$42,$D35=BY$7),$F35,"")</f>
        <v/>
      </c>
      <c r="BZ35" s="537" t="str">
        <f>IF(AND($G35=Lists!$D$42,$D35=BZ$7),$F35,"")</f>
        <v/>
      </c>
      <c r="CA35" s="537" t="str">
        <f>IF(AND($G35=Lists!$D$42,$D35=CA$7),$F35,"")</f>
        <v/>
      </c>
      <c r="CB35" s="537" t="str">
        <f>IF(AND($G35=Lists!$D$42,$D35=CB$7),$F35,"")</f>
        <v/>
      </c>
      <c r="CC35" s="537" t="str">
        <f>IF(AND($G35=Lists!$D$42,$D35=CC$7),$F35,"")</f>
        <v/>
      </c>
      <c r="CD35" s="537" t="str">
        <f>IF(AND($G35=Lists!$D$42,$D35=CD$7),$F35,"")</f>
        <v/>
      </c>
      <c r="CE35" s="537" t="str">
        <f>IF(AND($G35=Lists!$D$42,$D35=CE$7),$F35,"")</f>
        <v/>
      </c>
      <c r="CF35" s="537" t="str">
        <f>IF(AND($G35=Lists!$D$42,$D35=CF$7),$F35,"")</f>
        <v/>
      </c>
      <c r="CG35" s="537" t="str">
        <f>IF(AND($G35=Lists!$D$42,$D35=CG$7),$F35,"")</f>
        <v/>
      </c>
      <c r="CH35" s="537" t="str">
        <f>IF(AND($G35=Lists!$D$42,$D35=CH$7),$F35,"")</f>
        <v/>
      </c>
      <c r="CI35" s="537" t="str">
        <f>IF(AND($G35=Lists!$D$42,$D35=CI$7),$F35,"")</f>
        <v/>
      </c>
      <c r="CJ35" s="537" t="str">
        <f>IF(AND($G35=Lists!$D$42,$D35=CJ$7),$F35,"")</f>
        <v/>
      </c>
      <c r="CK35" s="537" t="str">
        <f>IF(AND($G35=Lists!$D$42,$D35=CK$7),$F35,"")</f>
        <v/>
      </c>
      <c r="CL35" s="537" t="str">
        <f>IF(AND($G35=Lists!$D$42,$D35=CL$7),$F35,"")</f>
        <v/>
      </c>
      <c r="CM35" s="537" t="str">
        <f>IF(AND($G35=Lists!$D$42,$D35=CM$7),$F35,"")</f>
        <v/>
      </c>
      <c r="CN35" s="537" t="str">
        <f>IF(AND($G35=Lists!$D$42,$D35=CN$7),$F35,"")</f>
        <v/>
      </c>
      <c r="CO35" s="537" t="str">
        <f>IF(AND($G35=Lists!$D$42,$D35=CO$7),$F35,"")</f>
        <v/>
      </c>
      <c r="CP35" s="537" t="str">
        <f>IF(AND($G35=Lists!$D$42,$D35=CP$7),$F35,"")</f>
        <v/>
      </c>
      <c r="CQ35" s="537" t="str">
        <f>IF(AND($G35=Lists!$D$42,$D35=CQ$7),$F35,"")</f>
        <v/>
      </c>
      <c r="CR35" s="537" t="str">
        <f>IF(AND($G35=Lists!$D$42,$D35=CR$7),$F35,"")</f>
        <v/>
      </c>
      <c r="CS35" s="537" t="str">
        <f>IF(AND($G35=Lists!$D$42,$D35=CS$7),$F35,"")</f>
        <v/>
      </c>
      <c r="CT35" s="537" t="str">
        <f>IF(AND($G35=Lists!$D$42,$D35=CT$7),$F35,"")</f>
        <v/>
      </c>
      <c r="CU35" s="537" t="str">
        <f>IF(AND($G35=Lists!$D$42,$D35=CU$7),$F35,"")</f>
        <v/>
      </c>
      <c r="CV35" s="537" t="str">
        <f>IF(AND($G35=Lists!$D$42,$D35=CV$7),$F35,"")</f>
        <v/>
      </c>
      <c r="CW35" s="537" t="str">
        <f>IF(AND($G35=Lists!$D$42,$D35=CW$7),$F35,"")</f>
        <v/>
      </c>
      <c r="CX35" s="537" t="str">
        <f>IF(AND($G35=Lists!$D$42,$D35=CX$7),$F35,"")</f>
        <v/>
      </c>
      <c r="CY35" s="537" t="str">
        <f>IF(AND($G35=Lists!$D$42,$D35=CY$7),$F35,"")</f>
        <v/>
      </c>
      <c r="CZ35" s="537" t="str">
        <f>IF(AND($G35=Lists!$D$42,$D35=CZ$7),$F35,"")</f>
        <v/>
      </c>
      <c r="DA35" s="537" t="str">
        <f>IF(AND($G35=Lists!$D$42,$D35=DA$7),$F35,"")</f>
        <v/>
      </c>
      <c r="DB35" s="537" t="str">
        <f>IF(AND($G35=Lists!$D$42,$D35=DB$7),$F35,"")</f>
        <v/>
      </c>
      <c r="DC35" s="537"/>
      <c r="DD35" s="537"/>
      <c r="DE35" s="537" t="str">
        <f>IF(AND($G35=Lists!$D$42,$D35=DE$7),$F35,"")</f>
        <v/>
      </c>
    </row>
    <row r="36" spans="1:109">
      <c r="A36" s="532"/>
      <c r="B36" s="137"/>
      <c r="C36" s="139"/>
      <c r="D36" s="120" t="s">
        <v>1806</v>
      </c>
      <c r="E36" s="89"/>
      <c r="F36" s="128"/>
      <c r="G36" s="55" t="s">
        <v>1779</v>
      </c>
      <c r="H36" s="536"/>
      <c r="I36" s="537" t="str">
        <f t="shared" si="22"/>
        <v/>
      </c>
      <c r="J36" s="537" t="str">
        <f t="shared" si="23"/>
        <v/>
      </c>
      <c r="K36" s="537" t="str">
        <f t="shared" si="23"/>
        <v/>
      </c>
      <c r="L36" s="537" t="str">
        <f t="shared" si="17"/>
        <v/>
      </c>
      <c r="M36" s="537" t="str">
        <f t="shared" si="17"/>
        <v/>
      </c>
      <c r="N36" s="537" t="str">
        <f t="shared" si="23"/>
        <v/>
      </c>
      <c r="O36" s="537" t="str">
        <f t="shared" si="23"/>
        <v/>
      </c>
      <c r="P36" s="537" t="str">
        <f t="shared" si="23"/>
        <v/>
      </c>
      <c r="Q36" s="537" t="str">
        <f t="shared" si="23"/>
        <v/>
      </c>
      <c r="R36" s="537" t="str">
        <f t="shared" si="23"/>
        <v/>
      </c>
      <c r="S36" s="537" t="str">
        <f t="shared" si="23"/>
        <v/>
      </c>
      <c r="T36" s="537" t="str">
        <f t="shared" si="23"/>
        <v/>
      </c>
      <c r="U36" s="537" t="str">
        <f t="shared" si="23"/>
        <v/>
      </c>
      <c r="V36" s="537" t="str">
        <f t="shared" si="23"/>
        <v/>
      </c>
      <c r="W36" s="537" t="str">
        <f t="shared" si="23"/>
        <v/>
      </c>
      <c r="X36" s="537" t="str">
        <f t="shared" si="23"/>
        <v/>
      </c>
      <c r="Y36" s="537" t="str">
        <f t="shared" si="23"/>
        <v/>
      </c>
      <c r="Z36" s="537" t="str">
        <f t="shared" si="23"/>
        <v/>
      </c>
      <c r="AA36" s="537" t="str">
        <f t="shared" si="23"/>
        <v/>
      </c>
      <c r="AB36" s="537" t="str">
        <f t="shared" si="23"/>
        <v/>
      </c>
      <c r="AC36" s="537" t="str">
        <f t="shared" si="23"/>
        <v/>
      </c>
      <c r="AD36" s="537" t="str">
        <f t="shared" si="23"/>
        <v/>
      </c>
      <c r="AE36" s="537" t="str">
        <f t="shared" si="18"/>
        <v/>
      </c>
      <c r="AF36" s="537" t="str">
        <f t="shared" si="23"/>
        <v/>
      </c>
      <c r="AG36" s="537" t="str">
        <f t="shared" si="23"/>
        <v/>
      </c>
      <c r="AH36" s="537" t="str">
        <f t="shared" si="23"/>
        <v/>
      </c>
      <c r="AI36" s="537" t="str">
        <f t="shared" si="23"/>
        <v/>
      </c>
      <c r="AJ36" s="537">
        <f t="shared" si="23"/>
        <v>0</v>
      </c>
      <c r="AK36" s="537" t="str">
        <f t="shared" si="23"/>
        <v/>
      </c>
      <c r="AL36" s="537" t="str">
        <f t="shared" si="23"/>
        <v/>
      </c>
      <c r="AM36" s="537" t="str">
        <f t="shared" si="23"/>
        <v/>
      </c>
      <c r="AN36" s="537" t="str">
        <f t="shared" si="23"/>
        <v/>
      </c>
      <c r="AO36" s="537" t="str">
        <f t="shared" si="23"/>
        <v/>
      </c>
      <c r="AQ36" s="537" t="str">
        <f>IF(AND($G36=Lists!$D$41,$D36=AQ$7),$F36,"")</f>
        <v/>
      </c>
      <c r="AR36" s="537" t="str">
        <f>IF(AND($G36=Lists!$D$41,$D36=AR$7),$F36,"")</f>
        <v/>
      </c>
      <c r="AS36" s="537" t="str">
        <f>IF(AND($G36=Lists!$D$41,$D36=AS$7),$F36,"")</f>
        <v/>
      </c>
      <c r="AT36" s="537" t="str">
        <f>IF(AND($G36=Lists!$D$41,$D36=AT$7),$F36,"")</f>
        <v/>
      </c>
      <c r="AU36" s="537" t="str">
        <f>IF(AND($G36=Lists!$D$41,$D36=AU$7),$F36,"")</f>
        <v/>
      </c>
      <c r="AV36" s="537" t="str">
        <f>IF(AND($G36=Lists!$D$41,$D36=AV$7),$F36,"")</f>
        <v/>
      </c>
      <c r="AW36" s="537" t="str">
        <f>IF(AND($G36=Lists!$D$41,$D36=AW$7),$F36,"")</f>
        <v/>
      </c>
      <c r="AX36" s="537" t="str">
        <f>IF(AND($G36=Lists!$D$41,$D36=AX$7),$F36,"")</f>
        <v/>
      </c>
      <c r="AY36" s="537" t="str">
        <f>IF(AND($G36=Lists!$D$41,$D36=AY$7),$F36,"")</f>
        <v/>
      </c>
      <c r="AZ36" s="537" t="str">
        <f>IF(AND($G36=Lists!$D$41,$D36=AZ$7),$F36,"")</f>
        <v/>
      </c>
      <c r="BA36" s="537" t="str">
        <f>IF(AND($G36=Lists!$D$41,$D36=BA$7),$F36,"")</f>
        <v/>
      </c>
      <c r="BB36" s="537" t="str">
        <f>IF(AND($G36=Lists!$D$41,$D36=BB$7),$F36,"")</f>
        <v/>
      </c>
      <c r="BC36" s="537" t="str">
        <f>IF(AND($G36=Lists!$D$41,$D36=BC$7),$F36,"")</f>
        <v/>
      </c>
      <c r="BD36" s="537" t="str">
        <f>IF(AND($G36=Lists!$D$41,$D36=BD$7),$F36,"")</f>
        <v/>
      </c>
      <c r="BE36" s="537" t="str">
        <f>IF(AND($G36=Lists!$D$41,$D36=BE$7),$F36,"")</f>
        <v/>
      </c>
      <c r="BF36" s="537" t="str">
        <f>IF(AND($G36=Lists!$D$41,$D36=BF$7),$F36,"")</f>
        <v/>
      </c>
      <c r="BG36" s="537" t="str">
        <f>IF(AND($G36=Lists!$D$41,$D36=BG$7),$F36,"")</f>
        <v/>
      </c>
      <c r="BH36" s="537" t="str">
        <f>IF(AND($G36=Lists!$D$41,$D36=BH$7),$F36,"")</f>
        <v/>
      </c>
      <c r="BI36" s="537" t="str">
        <f>IF(AND($G36=Lists!$D$41,$D36=BI$7),$F36,"")</f>
        <v/>
      </c>
      <c r="BJ36" s="537" t="str">
        <f>IF(AND($G36=Lists!$D$41,$D36=BJ$7),$F36,"")</f>
        <v/>
      </c>
      <c r="BK36" s="537" t="str">
        <f>IF(AND($G36=Lists!$D$41,$D36=BK$7),$F36,"")</f>
        <v/>
      </c>
      <c r="BL36" s="537" t="str">
        <f>IF(AND($G36=Lists!$D$41,$D36=BL$7),$F36,"")</f>
        <v/>
      </c>
      <c r="BM36" s="537" t="str">
        <f>IF(AND($G36=Lists!$D$41,$D36=BM$7),$F36,"")</f>
        <v/>
      </c>
      <c r="BN36" s="537" t="str">
        <f>IF(AND($G36=Lists!$D$41,$D36=BN$7),$F36,"")</f>
        <v/>
      </c>
      <c r="BO36" s="537" t="str">
        <f>IF(AND($G36=Lists!$D$41,$D36=BO$7),$F36,"")</f>
        <v/>
      </c>
      <c r="BP36" s="537" t="str">
        <f>IF(AND($G36=Lists!$D$41,$D36=BP$7),$F36,"")</f>
        <v/>
      </c>
      <c r="BQ36" s="537" t="str">
        <f>IF(AND($G36=Lists!$D$41,$D36=BQ$7),$F36,"")</f>
        <v/>
      </c>
      <c r="BR36" s="537">
        <f>IF(AND($G36=Lists!$D$41,$D36=BR$7),$F36,"")</f>
        <v>0</v>
      </c>
      <c r="BS36" s="537" t="str">
        <f>IF(AND($G36=Lists!$D$41,$D36=BS$7),$F36,"")</f>
        <v/>
      </c>
      <c r="BT36" s="537" t="str">
        <f>IF(AND($G36=Lists!$D$41,$D36=BT$7),$F36,"")</f>
        <v/>
      </c>
      <c r="BU36" s="537" t="str">
        <f>IF(AND($G36=Lists!$D$41,$D36=BU$7),$F36,"")</f>
        <v/>
      </c>
      <c r="BV36" s="537" t="str">
        <f>IF(AND($G36=Lists!$D$41,$D36=BV$7),$F36,"")</f>
        <v/>
      </c>
      <c r="BW36" s="537" t="str">
        <f>IF(AND($G36=Lists!$D$41,$D36=BW$7),$F36,"")</f>
        <v/>
      </c>
      <c r="BY36" s="537" t="str">
        <f>IF(AND($G36=Lists!$D$42,$D36=BY$7),$F36,"")</f>
        <v/>
      </c>
      <c r="BZ36" s="537" t="str">
        <f>IF(AND($G36=Lists!$D$42,$D36=BZ$7),$F36,"")</f>
        <v/>
      </c>
      <c r="CA36" s="537" t="str">
        <f>IF(AND($G36=Lists!$D$42,$D36=CA$7),$F36,"")</f>
        <v/>
      </c>
      <c r="CB36" s="537" t="str">
        <f>IF(AND($G36=Lists!$D$42,$D36=CB$7),$F36,"")</f>
        <v/>
      </c>
      <c r="CC36" s="537" t="str">
        <f>IF(AND($G36=Lists!$D$42,$D36=CC$7),$F36,"")</f>
        <v/>
      </c>
      <c r="CD36" s="537" t="str">
        <f>IF(AND($G36=Lists!$D$42,$D36=CD$7),$F36,"")</f>
        <v/>
      </c>
      <c r="CE36" s="537" t="str">
        <f>IF(AND($G36=Lists!$D$42,$D36=CE$7),$F36,"")</f>
        <v/>
      </c>
      <c r="CF36" s="537" t="str">
        <f>IF(AND($G36=Lists!$D$42,$D36=CF$7),$F36,"")</f>
        <v/>
      </c>
      <c r="CG36" s="537" t="str">
        <f>IF(AND($G36=Lists!$D$42,$D36=CG$7),$F36,"")</f>
        <v/>
      </c>
      <c r="CH36" s="537" t="str">
        <f>IF(AND($G36=Lists!$D$42,$D36=CH$7),$F36,"")</f>
        <v/>
      </c>
      <c r="CI36" s="537" t="str">
        <f>IF(AND($G36=Lists!$D$42,$D36=CI$7),$F36,"")</f>
        <v/>
      </c>
      <c r="CJ36" s="537" t="str">
        <f>IF(AND($G36=Lists!$D$42,$D36=CJ$7),$F36,"")</f>
        <v/>
      </c>
      <c r="CK36" s="537" t="str">
        <f>IF(AND($G36=Lists!$D$42,$D36=CK$7),$F36,"")</f>
        <v/>
      </c>
      <c r="CL36" s="537" t="str">
        <f>IF(AND($G36=Lists!$D$42,$D36=CL$7),$F36,"")</f>
        <v/>
      </c>
      <c r="CM36" s="537" t="str">
        <f>IF(AND($G36=Lists!$D$42,$D36=CM$7),$F36,"")</f>
        <v/>
      </c>
      <c r="CN36" s="537" t="str">
        <f>IF(AND($G36=Lists!$D$42,$D36=CN$7),$F36,"")</f>
        <v/>
      </c>
      <c r="CO36" s="537" t="str">
        <f>IF(AND($G36=Lists!$D$42,$D36=CO$7),$F36,"")</f>
        <v/>
      </c>
      <c r="CP36" s="537" t="str">
        <f>IF(AND($G36=Lists!$D$42,$D36=CP$7),$F36,"")</f>
        <v/>
      </c>
      <c r="CQ36" s="537" t="str">
        <f>IF(AND($G36=Lists!$D$42,$D36=CQ$7),$F36,"")</f>
        <v/>
      </c>
      <c r="CR36" s="537" t="str">
        <f>IF(AND($G36=Lists!$D$42,$D36=CR$7),$F36,"")</f>
        <v/>
      </c>
      <c r="CS36" s="537" t="str">
        <f>IF(AND($G36=Lists!$D$42,$D36=CS$7),$F36,"")</f>
        <v/>
      </c>
      <c r="CT36" s="537" t="str">
        <f>IF(AND($G36=Lists!$D$42,$D36=CT$7),$F36,"")</f>
        <v/>
      </c>
      <c r="CU36" s="537" t="str">
        <f>IF(AND($G36=Lists!$D$42,$D36=CU$7),$F36,"")</f>
        <v/>
      </c>
      <c r="CV36" s="537" t="str">
        <f>IF(AND($G36=Lists!$D$42,$D36=CV$7),$F36,"")</f>
        <v/>
      </c>
      <c r="CW36" s="537" t="str">
        <f>IF(AND($G36=Lists!$D$42,$D36=CW$7),$F36,"")</f>
        <v/>
      </c>
      <c r="CX36" s="537" t="str">
        <f>IF(AND($G36=Lists!$D$42,$D36=CX$7),$F36,"")</f>
        <v/>
      </c>
      <c r="CY36" s="537" t="str">
        <f>IF(AND($G36=Lists!$D$42,$D36=CY$7),$F36,"")</f>
        <v/>
      </c>
      <c r="CZ36" s="537" t="str">
        <f>IF(AND($G36=Lists!$D$42,$D36=CZ$7),$F36,"")</f>
        <v/>
      </c>
      <c r="DA36" s="537" t="str">
        <f>IF(AND($G36=Lists!$D$42,$D36=DA$7),$F36,"")</f>
        <v/>
      </c>
      <c r="DB36" s="537" t="str">
        <f>IF(AND($G36=Lists!$D$42,$D36=DB$7),$F36,"")</f>
        <v/>
      </c>
      <c r="DC36" s="537"/>
      <c r="DD36" s="537"/>
      <c r="DE36" s="537" t="str">
        <f>IF(AND($G36=Lists!$D$42,$D36=DE$7),$F36,"")</f>
        <v/>
      </c>
    </row>
    <row r="37" spans="1:109">
      <c r="A37" s="532"/>
      <c r="B37" s="137"/>
      <c r="C37" s="139"/>
      <c r="D37" s="120" t="s">
        <v>1807</v>
      </c>
      <c r="E37" s="89"/>
      <c r="F37" s="128"/>
      <c r="G37" s="55" t="s">
        <v>1779</v>
      </c>
      <c r="H37" s="536"/>
      <c r="I37" s="537" t="str">
        <f t="shared" si="22"/>
        <v/>
      </c>
      <c r="J37" s="537" t="str">
        <f t="shared" si="23"/>
        <v/>
      </c>
      <c r="K37" s="537" t="str">
        <f t="shared" si="23"/>
        <v/>
      </c>
      <c r="L37" s="537" t="str">
        <f t="shared" si="17"/>
        <v/>
      </c>
      <c r="M37" s="537" t="str">
        <f t="shared" si="17"/>
        <v/>
      </c>
      <c r="N37" s="537" t="str">
        <f t="shared" si="23"/>
        <v/>
      </c>
      <c r="O37" s="537" t="str">
        <f t="shared" si="23"/>
        <v/>
      </c>
      <c r="P37" s="537" t="str">
        <f t="shared" si="23"/>
        <v/>
      </c>
      <c r="Q37" s="537" t="str">
        <f t="shared" si="23"/>
        <v/>
      </c>
      <c r="R37" s="537" t="str">
        <f t="shared" si="23"/>
        <v/>
      </c>
      <c r="S37" s="537" t="str">
        <f t="shared" si="23"/>
        <v/>
      </c>
      <c r="T37" s="537" t="str">
        <f t="shared" si="23"/>
        <v/>
      </c>
      <c r="U37" s="537" t="str">
        <f t="shared" si="23"/>
        <v/>
      </c>
      <c r="V37" s="537" t="str">
        <f t="shared" si="23"/>
        <v/>
      </c>
      <c r="W37" s="537" t="str">
        <f t="shared" si="23"/>
        <v/>
      </c>
      <c r="X37" s="537" t="str">
        <f t="shared" si="23"/>
        <v/>
      </c>
      <c r="Y37" s="537" t="str">
        <f t="shared" si="23"/>
        <v/>
      </c>
      <c r="Z37" s="537" t="str">
        <f t="shared" si="23"/>
        <v/>
      </c>
      <c r="AA37" s="537" t="str">
        <f t="shared" si="23"/>
        <v/>
      </c>
      <c r="AB37" s="537" t="str">
        <f t="shared" si="23"/>
        <v/>
      </c>
      <c r="AC37" s="537" t="str">
        <f t="shared" si="23"/>
        <v/>
      </c>
      <c r="AD37" s="537" t="str">
        <f t="shared" si="23"/>
        <v/>
      </c>
      <c r="AE37" s="537" t="str">
        <f t="shared" si="18"/>
        <v/>
      </c>
      <c r="AF37" s="537" t="str">
        <f t="shared" si="23"/>
        <v/>
      </c>
      <c r="AG37" s="537" t="str">
        <f t="shared" si="23"/>
        <v/>
      </c>
      <c r="AH37" s="537" t="str">
        <f t="shared" si="23"/>
        <v/>
      </c>
      <c r="AI37" s="537" t="str">
        <f t="shared" si="23"/>
        <v/>
      </c>
      <c r="AJ37" s="537" t="str">
        <f t="shared" si="23"/>
        <v/>
      </c>
      <c r="AK37" s="537">
        <f t="shared" si="23"/>
        <v>0</v>
      </c>
      <c r="AL37" s="537" t="str">
        <f t="shared" si="23"/>
        <v/>
      </c>
      <c r="AM37" s="537" t="str">
        <f t="shared" si="23"/>
        <v/>
      </c>
      <c r="AN37" s="537" t="str">
        <f t="shared" si="23"/>
        <v/>
      </c>
      <c r="AO37" s="537" t="str">
        <f t="shared" si="23"/>
        <v/>
      </c>
      <c r="AQ37" s="537" t="str">
        <f>IF(AND($G37=Lists!$D$41,$D37=AQ$7),$F37,"")</f>
        <v/>
      </c>
      <c r="AR37" s="537" t="str">
        <f>IF(AND($G37=Lists!$D$41,$D37=AR$7),$F37,"")</f>
        <v/>
      </c>
      <c r="AS37" s="537" t="str">
        <f>IF(AND($G37=Lists!$D$41,$D37=AS$7),$F37,"")</f>
        <v/>
      </c>
      <c r="AT37" s="537" t="str">
        <f>IF(AND($G37=Lists!$D$41,$D37=AT$7),$F37,"")</f>
        <v/>
      </c>
      <c r="AU37" s="537" t="str">
        <f>IF(AND($G37=Lists!$D$41,$D37=AU$7),$F37,"")</f>
        <v/>
      </c>
      <c r="AV37" s="537" t="str">
        <f>IF(AND($G37=Lists!$D$41,$D37=AV$7),$F37,"")</f>
        <v/>
      </c>
      <c r="AW37" s="537" t="str">
        <f>IF(AND($G37=Lists!$D$41,$D37=AW$7),$F37,"")</f>
        <v/>
      </c>
      <c r="AX37" s="537" t="str">
        <f>IF(AND($G37=Lists!$D$41,$D37=AX$7),$F37,"")</f>
        <v/>
      </c>
      <c r="AY37" s="537" t="str">
        <f>IF(AND($G37=Lists!$D$41,$D37=AY$7),$F37,"")</f>
        <v/>
      </c>
      <c r="AZ37" s="537" t="str">
        <f>IF(AND($G37=Lists!$D$41,$D37=AZ$7),$F37,"")</f>
        <v/>
      </c>
      <c r="BA37" s="537" t="str">
        <f>IF(AND($G37=Lists!$D$41,$D37=BA$7),$F37,"")</f>
        <v/>
      </c>
      <c r="BB37" s="537" t="str">
        <f>IF(AND($G37=Lists!$D$41,$D37=BB$7),$F37,"")</f>
        <v/>
      </c>
      <c r="BC37" s="537" t="str">
        <f>IF(AND($G37=Lists!$D$41,$D37=BC$7),$F37,"")</f>
        <v/>
      </c>
      <c r="BD37" s="537" t="str">
        <f>IF(AND($G37=Lists!$D$41,$D37=BD$7),$F37,"")</f>
        <v/>
      </c>
      <c r="BE37" s="537" t="str">
        <f>IF(AND($G37=Lists!$D$41,$D37=BE$7),$F37,"")</f>
        <v/>
      </c>
      <c r="BF37" s="537" t="str">
        <f>IF(AND($G37=Lists!$D$41,$D37=BF$7),$F37,"")</f>
        <v/>
      </c>
      <c r="BG37" s="537" t="str">
        <f>IF(AND($G37=Lists!$D$41,$D37=BG$7),$F37,"")</f>
        <v/>
      </c>
      <c r="BH37" s="537" t="str">
        <f>IF(AND($G37=Lists!$D$41,$D37=BH$7),$F37,"")</f>
        <v/>
      </c>
      <c r="BI37" s="537" t="str">
        <f>IF(AND($G37=Lists!$D$41,$D37=BI$7),$F37,"")</f>
        <v/>
      </c>
      <c r="BJ37" s="537" t="str">
        <f>IF(AND($G37=Lists!$D$41,$D37=BJ$7),$F37,"")</f>
        <v/>
      </c>
      <c r="BK37" s="537" t="str">
        <f>IF(AND($G37=Lists!$D$41,$D37=BK$7),$F37,"")</f>
        <v/>
      </c>
      <c r="BL37" s="537" t="str">
        <f>IF(AND($G37=Lists!$D$41,$D37=BL$7),$F37,"")</f>
        <v/>
      </c>
      <c r="BM37" s="537" t="str">
        <f>IF(AND($G37=Lists!$D$41,$D37=BM$7),$F37,"")</f>
        <v/>
      </c>
      <c r="BN37" s="537" t="str">
        <f>IF(AND($G37=Lists!$D$41,$D37=BN$7),$F37,"")</f>
        <v/>
      </c>
      <c r="BO37" s="537" t="str">
        <f>IF(AND($G37=Lists!$D$41,$D37=BO$7),$F37,"")</f>
        <v/>
      </c>
      <c r="BP37" s="537" t="str">
        <f>IF(AND($G37=Lists!$D$41,$D37=BP$7),$F37,"")</f>
        <v/>
      </c>
      <c r="BQ37" s="537" t="str">
        <f>IF(AND($G37=Lists!$D$41,$D37=BQ$7),$F37,"")</f>
        <v/>
      </c>
      <c r="BR37" s="537" t="str">
        <f>IF(AND($G37=Lists!$D$41,$D37=BR$7),$F37,"")</f>
        <v/>
      </c>
      <c r="BS37" s="537">
        <f>IF(AND($G37=Lists!$D$41,$D37=BS$7),$F37,"")</f>
        <v>0</v>
      </c>
      <c r="BT37" s="537" t="str">
        <f>IF(AND($G37=Lists!$D$41,$D37=BT$7),$F37,"")</f>
        <v/>
      </c>
      <c r="BU37" s="537" t="str">
        <f>IF(AND($G37=Lists!$D$41,$D37=BU$7),$F37,"")</f>
        <v/>
      </c>
      <c r="BV37" s="537" t="str">
        <f>IF(AND($G37=Lists!$D$41,$D37=BV$7),$F37,"")</f>
        <v/>
      </c>
      <c r="BW37" s="537" t="str">
        <f>IF(AND($G37=Lists!$D$41,$D37=BW$7),$F37,"")</f>
        <v/>
      </c>
      <c r="BY37" s="537" t="str">
        <f>IF(AND($G37=Lists!$D$42,$D37=BY$7),$F37,"")</f>
        <v/>
      </c>
      <c r="BZ37" s="537" t="str">
        <f>IF(AND($G37=Lists!$D$42,$D37=BZ$7),$F37,"")</f>
        <v/>
      </c>
      <c r="CA37" s="537" t="str">
        <f>IF(AND($G37=Lists!$D$42,$D37=CA$7),$F37,"")</f>
        <v/>
      </c>
      <c r="CB37" s="537" t="str">
        <f>IF(AND($G37=Lists!$D$42,$D37=CB$7),$F37,"")</f>
        <v/>
      </c>
      <c r="CC37" s="537" t="str">
        <f>IF(AND($G37=Lists!$D$42,$D37=CC$7),$F37,"")</f>
        <v/>
      </c>
      <c r="CD37" s="537" t="str">
        <f>IF(AND($G37=Lists!$D$42,$D37=CD$7),$F37,"")</f>
        <v/>
      </c>
      <c r="CE37" s="537" t="str">
        <f>IF(AND($G37=Lists!$D$42,$D37=CE$7),$F37,"")</f>
        <v/>
      </c>
      <c r="CF37" s="537" t="str">
        <f>IF(AND($G37=Lists!$D$42,$D37=CF$7),$F37,"")</f>
        <v/>
      </c>
      <c r="CG37" s="537" t="str">
        <f>IF(AND($G37=Lists!$D$42,$D37=CG$7),$F37,"")</f>
        <v/>
      </c>
      <c r="CH37" s="537" t="str">
        <f>IF(AND($G37=Lists!$D$42,$D37=CH$7),$F37,"")</f>
        <v/>
      </c>
      <c r="CI37" s="537" t="str">
        <f>IF(AND($G37=Lists!$D$42,$D37=CI$7),$F37,"")</f>
        <v/>
      </c>
      <c r="CJ37" s="537" t="str">
        <f>IF(AND($G37=Lists!$D$42,$D37=CJ$7),$F37,"")</f>
        <v/>
      </c>
      <c r="CK37" s="537" t="str">
        <f>IF(AND($G37=Lists!$D$42,$D37=CK$7),$F37,"")</f>
        <v/>
      </c>
      <c r="CL37" s="537" t="str">
        <f>IF(AND($G37=Lists!$D$42,$D37=CL$7),$F37,"")</f>
        <v/>
      </c>
      <c r="CM37" s="537" t="str">
        <f>IF(AND($G37=Lists!$D$42,$D37=CM$7),$F37,"")</f>
        <v/>
      </c>
      <c r="CN37" s="537" t="str">
        <f>IF(AND($G37=Lists!$D$42,$D37=CN$7),$F37,"")</f>
        <v/>
      </c>
      <c r="CO37" s="537" t="str">
        <f>IF(AND($G37=Lists!$D$42,$D37=CO$7),$F37,"")</f>
        <v/>
      </c>
      <c r="CP37" s="537" t="str">
        <f>IF(AND($G37=Lists!$D$42,$D37=CP$7),$F37,"")</f>
        <v/>
      </c>
      <c r="CQ37" s="537" t="str">
        <f>IF(AND($G37=Lists!$D$42,$D37=CQ$7),$F37,"")</f>
        <v/>
      </c>
      <c r="CR37" s="537" t="str">
        <f>IF(AND($G37=Lists!$D$42,$D37=CR$7),$F37,"")</f>
        <v/>
      </c>
      <c r="CS37" s="537" t="str">
        <f>IF(AND($G37=Lists!$D$42,$D37=CS$7),$F37,"")</f>
        <v/>
      </c>
      <c r="CT37" s="537" t="str">
        <f>IF(AND($G37=Lists!$D$42,$D37=CT$7),$F37,"")</f>
        <v/>
      </c>
      <c r="CU37" s="537" t="str">
        <f>IF(AND($G37=Lists!$D$42,$D37=CU$7),$F37,"")</f>
        <v/>
      </c>
      <c r="CV37" s="537" t="str">
        <f>IF(AND($G37=Lists!$D$42,$D37=CV$7),$F37,"")</f>
        <v/>
      </c>
      <c r="CW37" s="537" t="str">
        <f>IF(AND($G37=Lists!$D$42,$D37=CW$7),$F37,"")</f>
        <v/>
      </c>
      <c r="CX37" s="537" t="str">
        <f>IF(AND($G37=Lists!$D$42,$D37=CX$7),$F37,"")</f>
        <v/>
      </c>
      <c r="CY37" s="537" t="str">
        <f>IF(AND($G37=Lists!$D$42,$D37=CY$7),$F37,"")</f>
        <v/>
      </c>
      <c r="CZ37" s="537" t="str">
        <f>IF(AND($G37=Lists!$D$42,$D37=CZ$7),$F37,"")</f>
        <v/>
      </c>
      <c r="DA37" s="537" t="str">
        <f>IF(AND($G37=Lists!$D$42,$D37=DA$7),$F37,"")</f>
        <v/>
      </c>
      <c r="DB37" s="537" t="str">
        <f>IF(AND($G37=Lists!$D$42,$D37=DB$7),$F37,"")</f>
        <v/>
      </c>
      <c r="DC37" s="537"/>
      <c r="DD37" s="537"/>
      <c r="DE37" s="537" t="str">
        <f>IF(AND($G37=Lists!$D$42,$D37=DE$7),$F37,"")</f>
        <v/>
      </c>
    </row>
    <row r="38" spans="1:109">
      <c r="A38" s="532"/>
      <c r="B38" s="137"/>
      <c r="C38" s="139"/>
      <c r="D38" s="120" t="s">
        <v>1808</v>
      </c>
      <c r="E38" s="89"/>
      <c r="F38" s="128"/>
      <c r="G38" s="55" t="s">
        <v>1779</v>
      </c>
      <c r="H38" s="536"/>
      <c r="I38" s="537" t="str">
        <f t="shared" si="22"/>
        <v/>
      </c>
      <c r="J38" s="537" t="str">
        <f t="shared" si="23"/>
        <v/>
      </c>
      <c r="K38" s="537" t="str">
        <f t="shared" si="23"/>
        <v/>
      </c>
      <c r="L38" s="537" t="str">
        <f t="shared" si="17"/>
        <v/>
      </c>
      <c r="M38" s="537" t="str">
        <f t="shared" si="17"/>
        <v/>
      </c>
      <c r="N38" s="537" t="str">
        <f t="shared" si="23"/>
        <v/>
      </c>
      <c r="O38" s="537" t="str">
        <f t="shared" si="23"/>
        <v/>
      </c>
      <c r="P38" s="537" t="str">
        <f t="shared" si="23"/>
        <v/>
      </c>
      <c r="Q38" s="537" t="str">
        <f t="shared" si="23"/>
        <v/>
      </c>
      <c r="R38" s="537" t="str">
        <f t="shared" si="23"/>
        <v/>
      </c>
      <c r="S38" s="537" t="str">
        <f t="shared" si="23"/>
        <v/>
      </c>
      <c r="T38" s="537" t="str">
        <f t="shared" si="23"/>
        <v/>
      </c>
      <c r="U38" s="537" t="str">
        <f t="shared" si="23"/>
        <v/>
      </c>
      <c r="V38" s="537" t="str">
        <f t="shared" si="23"/>
        <v/>
      </c>
      <c r="W38" s="537" t="str">
        <f t="shared" si="23"/>
        <v/>
      </c>
      <c r="X38" s="537" t="str">
        <f t="shared" si="23"/>
        <v/>
      </c>
      <c r="Y38" s="537" t="str">
        <f t="shared" si="23"/>
        <v/>
      </c>
      <c r="Z38" s="537" t="str">
        <f t="shared" si="23"/>
        <v/>
      </c>
      <c r="AA38" s="537" t="str">
        <f t="shared" si="23"/>
        <v/>
      </c>
      <c r="AB38" s="537" t="str">
        <f t="shared" si="23"/>
        <v/>
      </c>
      <c r="AC38" s="537" t="str">
        <f t="shared" si="23"/>
        <v/>
      </c>
      <c r="AD38" s="537" t="str">
        <f t="shared" si="23"/>
        <v/>
      </c>
      <c r="AE38" s="537" t="str">
        <f t="shared" si="18"/>
        <v/>
      </c>
      <c r="AF38" s="537" t="str">
        <f t="shared" si="23"/>
        <v/>
      </c>
      <c r="AG38" s="537" t="str">
        <f t="shared" si="23"/>
        <v/>
      </c>
      <c r="AH38" s="537" t="str">
        <f t="shared" si="23"/>
        <v/>
      </c>
      <c r="AI38" s="537" t="str">
        <f t="shared" si="23"/>
        <v/>
      </c>
      <c r="AJ38" s="537" t="str">
        <f t="shared" si="23"/>
        <v/>
      </c>
      <c r="AK38" s="537" t="str">
        <f t="shared" si="23"/>
        <v/>
      </c>
      <c r="AL38" s="537">
        <f t="shared" si="23"/>
        <v>0</v>
      </c>
      <c r="AM38" s="537" t="str">
        <f t="shared" si="23"/>
        <v/>
      </c>
      <c r="AN38" s="537" t="str">
        <f t="shared" si="23"/>
        <v/>
      </c>
      <c r="AO38" s="537" t="str">
        <f t="shared" si="23"/>
        <v/>
      </c>
      <c r="AQ38" s="537" t="str">
        <f>IF(AND($G38=Lists!$D$41,$D38=AQ$7),$F38,"")</f>
        <v/>
      </c>
      <c r="AR38" s="537" t="str">
        <f>IF(AND($G38=Lists!$D$41,$D38=AR$7),$F38,"")</f>
        <v/>
      </c>
      <c r="AS38" s="537" t="str">
        <f>IF(AND($G38=Lists!$D$41,$D38=AS$7),$F38,"")</f>
        <v/>
      </c>
      <c r="AT38" s="537" t="str">
        <f>IF(AND($G38=Lists!$D$41,$D38=AT$7),$F38,"")</f>
        <v/>
      </c>
      <c r="AU38" s="537" t="str">
        <f>IF(AND($G38=Lists!$D$41,$D38=AU$7),$F38,"")</f>
        <v/>
      </c>
      <c r="AV38" s="537" t="str">
        <f>IF(AND($G38=Lists!$D$41,$D38=AV$7),$F38,"")</f>
        <v/>
      </c>
      <c r="AW38" s="537" t="str">
        <f>IF(AND($G38=Lists!$D$41,$D38=AW$7),$F38,"")</f>
        <v/>
      </c>
      <c r="AX38" s="537" t="str">
        <f>IF(AND($G38=Lists!$D$41,$D38=AX$7),$F38,"")</f>
        <v/>
      </c>
      <c r="AY38" s="537" t="str">
        <f>IF(AND($G38=Lists!$D$41,$D38=AY$7),$F38,"")</f>
        <v/>
      </c>
      <c r="AZ38" s="537" t="str">
        <f>IF(AND($G38=Lists!$D$41,$D38=AZ$7),$F38,"")</f>
        <v/>
      </c>
      <c r="BA38" s="537" t="str">
        <f>IF(AND($G38=Lists!$D$41,$D38=BA$7),$F38,"")</f>
        <v/>
      </c>
      <c r="BB38" s="537" t="str">
        <f>IF(AND($G38=Lists!$D$41,$D38=BB$7),$F38,"")</f>
        <v/>
      </c>
      <c r="BC38" s="537" t="str">
        <f>IF(AND($G38=Lists!$D$41,$D38=BC$7),$F38,"")</f>
        <v/>
      </c>
      <c r="BD38" s="537" t="str">
        <f>IF(AND($G38=Lists!$D$41,$D38=BD$7),$F38,"")</f>
        <v/>
      </c>
      <c r="BE38" s="537" t="str">
        <f>IF(AND($G38=Lists!$D$41,$D38=BE$7),$F38,"")</f>
        <v/>
      </c>
      <c r="BF38" s="537" t="str">
        <f>IF(AND($G38=Lists!$D$41,$D38=BF$7),$F38,"")</f>
        <v/>
      </c>
      <c r="BG38" s="537" t="str">
        <f>IF(AND($G38=Lists!$D$41,$D38=BG$7),$F38,"")</f>
        <v/>
      </c>
      <c r="BH38" s="537" t="str">
        <f>IF(AND($G38=Lists!$D$41,$D38=BH$7),$F38,"")</f>
        <v/>
      </c>
      <c r="BI38" s="537" t="str">
        <f>IF(AND($G38=Lists!$D$41,$D38=BI$7),$F38,"")</f>
        <v/>
      </c>
      <c r="BJ38" s="537" t="str">
        <f>IF(AND($G38=Lists!$D$41,$D38=BJ$7),$F38,"")</f>
        <v/>
      </c>
      <c r="BK38" s="537" t="str">
        <f>IF(AND($G38=Lists!$D$41,$D38=BK$7),$F38,"")</f>
        <v/>
      </c>
      <c r="BL38" s="537" t="str">
        <f>IF(AND($G38=Lists!$D$41,$D38=BL$7),$F38,"")</f>
        <v/>
      </c>
      <c r="BM38" s="537" t="str">
        <f>IF(AND($G38=Lists!$D$41,$D38=BM$7),$F38,"")</f>
        <v/>
      </c>
      <c r="BN38" s="537" t="str">
        <f>IF(AND($G38=Lists!$D$41,$D38=BN$7),$F38,"")</f>
        <v/>
      </c>
      <c r="BO38" s="537" t="str">
        <f>IF(AND($G38=Lists!$D$41,$D38=BO$7),$F38,"")</f>
        <v/>
      </c>
      <c r="BP38" s="537" t="str">
        <f>IF(AND($G38=Lists!$D$41,$D38=BP$7),$F38,"")</f>
        <v/>
      </c>
      <c r="BQ38" s="537" t="str">
        <f>IF(AND($G38=Lists!$D$41,$D38=BQ$7),$F38,"")</f>
        <v/>
      </c>
      <c r="BR38" s="537" t="str">
        <f>IF(AND($G38=Lists!$D$41,$D38=BR$7),$F38,"")</f>
        <v/>
      </c>
      <c r="BS38" s="537" t="str">
        <f>IF(AND($G38=Lists!$D$41,$D38=BS$7),$F38,"")</f>
        <v/>
      </c>
      <c r="BT38" s="537">
        <f>IF(AND($G38=Lists!$D$41,$D38=BT$7),$F38,"")</f>
        <v>0</v>
      </c>
      <c r="BU38" s="537" t="str">
        <f>IF(AND($G38=Lists!$D$41,$D38=BU$7),$F38,"")</f>
        <v/>
      </c>
      <c r="BV38" s="537" t="str">
        <f>IF(AND($G38=Lists!$D$41,$D38=BV$7),$F38,"")</f>
        <v/>
      </c>
      <c r="BW38" s="537" t="str">
        <f>IF(AND($G38=Lists!$D$41,$D38=BW$7),$F38,"")</f>
        <v/>
      </c>
      <c r="BY38" s="537" t="str">
        <f>IF(AND($G38=Lists!$D$42,$D38=BY$7),$F38,"")</f>
        <v/>
      </c>
      <c r="BZ38" s="537" t="str">
        <f>IF(AND($G38=Lists!$D$42,$D38=BZ$7),$F38,"")</f>
        <v/>
      </c>
      <c r="CA38" s="537" t="str">
        <f>IF(AND($G38=Lists!$D$42,$D38=CA$7),$F38,"")</f>
        <v/>
      </c>
      <c r="CB38" s="537" t="str">
        <f>IF(AND($G38=Lists!$D$42,$D38=CB$7),$F38,"")</f>
        <v/>
      </c>
      <c r="CC38" s="537" t="str">
        <f>IF(AND($G38=Lists!$D$42,$D38=CC$7),$F38,"")</f>
        <v/>
      </c>
      <c r="CD38" s="537" t="str">
        <f>IF(AND($G38=Lists!$D$42,$D38=CD$7),$F38,"")</f>
        <v/>
      </c>
      <c r="CE38" s="537" t="str">
        <f>IF(AND($G38=Lists!$D$42,$D38=CE$7),$F38,"")</f>
        <v/>
      </c>
      <c r="CF38" s="537" t="str">
        <f>IF(AND($G38=Lists!$D$42,$D38=CF$7),$F38,"")</f>
        <v/>
      </c>
      <c r="CG38" s="537" t="str">
        <f>IF(AND($G38=Lists!$D$42,$D38=CG$7),$F38,"")</f>
        <v/>
      </c>
      <c r="CH38" s="537" t="str">
        <f>IF(AND($G38=Lists!$D$42,$D38=CH$7),$F38,"")</f>
        <v/>
      </c>
      <c r="CI38" s="537" t="str">
        <f>IF(AND($G38=Lists!$D$42,$D38=CI$7),$F38,"")</f>
        <v/>
      </c>
      <c r="CJ38" s="537" t="str">
        <f>IF(AND($G38=Lists!$D$42,$D38=CJ$7),$F38,"")</f>
        <v/>
      </c>
      <c r="CK38" s="537" t="str">
        <f>IF(AND($G38=Lists!$D$42,$D38=CK$7),$F38,"")</f>
        <v/>
      </c>
      <c r="CL38" s="537" t="str">
        <f>IF(AND($G38=Lists!$D$42,$D38=CL$7),$F38,"")</f>
        <v/>
      </c>
      <c r="CM38" s="537" t="str">
        <f>IF(AND($G38=Lists!$D$42,$D38=CM$7),$F38,"")</f>
        <v/>
      </c>
      <c r="CN38" s="537" t="str">
        <f>IF(AND($G38=Lists!$D$42,$D38=CN$7),$F38,"")</f>
        <v/>
      </c>
      <c r="CO38" s="537" t="str">
        <f>IF(AND($G38=Lists!$D$42,$D38=CO$7),$F38,"")</f>
        <v/>
      </c>
      <c r="CP38" s="537" t="str">
        <f>IF(AND($G38=Lists!$D$42,$D38=CP$7),$F38,"")</f>
        <v/>
      </c>
      <c r="CQ38" s="537" t="str">
        <f>IF(AND($G38=Lists!$D$42,$D38=CQ$7),$F38,"")</f>
        <v/>
      </c>
      <c r="CR38" s="537" t="str">
        <f>IF(AND($G38=Lists!$D$42,$D38=CR$7),$F38,"")</f>
        <v/>
      </c>
      <c r="CS38" s="537" t="str">
        <f>IF(AND($G38=Lists!$D$42,$D38=CS$7),$F38,"")</f>
        <v/>
      </c>
      <c r="CT38" s="537" t="str">
        <f>IF(AND($G38=Lists!$D$42,$D38=CT$7),$F38,"")</f>
        <v/>
      </c>
      <c r="CU38" s="537" t="str">
        <f>IF(AND($G38=Lists!$D$42,$D38=CU$7),$F38,"")</f>
        <v/>
      </c>
      <c r="CV38" s="537" t="str">
        <f>IF(AND($G38=Lists!$D$42,$D38=CV$7),$F38,"")</f>
        <v/>
      </c>
      <c r="CW38" s="537" t="str">
        <f>IF(AND($G38=Lists!$D$42,$D38=CW$7),$F38,"")</f>
        <v/>
      </c>
      <c r="CX38" s="537" t="str">
        <f>IF(AND($G38=Lists!$D$42,$D38=CX$7),$F38,"")</f>
        <v/>
      </c>
      <c r="CY38" s="537" t="str">
        <f>IF(AND($G38=Lists!$D$42,$D38=CY$7),$F38,"")</f>
        <v/>
      </c>
      <c r="CZ38" s="537" t="str">
        <f>IF(AND($G38=Lists!$D$42,$D38=CZ$7),$F38,"")</f>
        <v/>
      </c>
      <c r="DA38" s="537" t="str">
        <f>IF(AND($G38=Lists!$D$42,$D38=DA$7),$F38,"")</f>
        <v/>
      </c>
      <c r="DB38" s="537" t="str">
        <f>IF(AND($G38=Lists!$D$42,$D38=DB$7),$F38,"")</f>
        <v/>
      </c>
      <c r="DC38" s="537"/>
      <c r="DD38" s="537"/>
      <c r="DE38" s="537" t="str">
        <f>IF(AND($G38=Lists!$D$42,$D38=DE$7),$F38,"")</f>
        <v/>
      </c>
    </row>
    <row r="39" spans="1:109">
      <c r="A39" s="532"/>
      <c r="B39" s="137"/>
      <c r="C39" s="139"/>
      <c r="D39" s="120" t="s">
        <v>1778</v>
      </c>
      <c r="E39" s="89"/>
      <c r="F39" s="128"/>
      <c r="G39" s="55" t="s">
        <v>1779</v>
      </c>
      <c r="H39" s="536"/>
      <c r="I39" s="537">
        <f t="shared" si="22"/>
        <v>0</v>
      </c>
      <c r="J39" s="537" t="str">
        <f t="shared" si="23"/>
        <v/>
      </c>
      <c r="K39" s="537" t="str">
        <f t="shared" si="23"/>
        <v/>
      </c>
      <c r="L39" s="537" t="str">
        <f t="shared" si="17"/>
        <v/>
      </c>
      <c r="M39" s="537" t="str">
        <f t="shared" si="17"/>
        <v/>
      </c>
      <c r="N39" s="537" t="str">
        <f t="shared" si="23"/>
        <v/>
      </c>
      <c r="O39" s="537" t="str">
        <f t="shared" si="23"/>
        <v/>
      </c>
      <c r="P39" s="537" t="str">
        <f t="shared" si="23"/>
        <v/>
      </c>
      <c r="Q39" s="537" t="str">
        <f t="shared" si="23"/>
        <v/>
      </c>
      <c r="R39" s="537" t="str">
        <f t="shared" si="23"/>
        <v/>
      </c>
      <c r="S39" s="537" t="str">
        <f t="shared" si="23"/>
        <v/>
      </c>
      <c r="T39" s="537" t="str">
        <f t="shared" si="23"/>
        <v/>
      </c>
      <c r="U39" s="537" t="str">
        <f t="shared" si="23"/>
        <v/>
      </c>
      <c r="V39" s="537" t="str">
        <f t="shared" si="23"/>
        <v/>
      </c>
      <c r="W39" s="537" t="str">
        <f t="shared" si="23"/>
        <v/>
      </c>
      <c r="X39" s="537" t="str">
        <f t="shared" si="23"/>
        <v/>
      </c>
      <c r="Y39" s="537" t="str">
        <f t="shared" si="23"/>
        <v/>
      </c>
      <c r="Z39" s="537" t="str">
        <f t="shared" si="23"/>
        <v/>
      </c>
      <c r="AA39" s="537" t="str">
        <f t="shared" si="23"/>
        <v/>
      </c>
      <c r="AB39" s="537" t="str">
        <f t="shared" si="23"/>
        <v/>
      </c>
      <c r="AC39" s="537" t="str">
        <f t="shared" si="23"/>
        <v/>
      </c>
      <c r="AD39" s="537" t="str">
        <f t="shared" si="23"/>
        <v/>
      </c>
      <c r="AE39" s="537" t="str">
        <f t="shared" si="18"/>
        <v/>
      </c>
      <c r="AF39" s="537" t="str">
        <f t="shared" si="23"/>
        <v/>
      </c>
      <c r="AG39" s="537" t="str">
        <f t="shared" si="23"/>
        <v/>
      </c>
      <c r="AH39" s="537" t="str">
        <f t="shared" si="23"/>
        <v/>
      </c>
      <c r="AI39" s="537" t="str">
        <f t="shared" si="23"/>
        <v/>
      </c>
      <c r="AJ39" s="537" t="str">
        <f t="shared" si="23"/>
        <v/>
      </c>
      <c r="AK39" s="537" t="str">
        <f t="shared" si="23"/>
        <v/>
      </c>
      <c r="AL39" s="537" t="str">
        <f t="shared" si="23"/>
        <v/>
      </c>
      <c r="AM39" s="537" t="str">
        <f t="shared" si="23"/>
        <v/>
      </c>
      <c r="AN39" s="537" t="str">
        <f t="shared" si="23"/>
        <v/>
      </c>
      <c r="AO39" s="537" t="str">
        <f t="shared" si="23"/>
        <v/>
      </c>
      <c r="AQ39" s="537">
        <f>IF(AND($G39=Lists!$D$41,$D39=AQ$7),$F39,"")</f>
        <v>0</v>
      </c>
      <c r="AR39" s="537" t="str">
        <f>IF(AND($G39=Lists!$D$41,$D39=AR$7),$F39,"")</f>
        <v/>
      </c>
      <c r="AS39" s="537" t="str">
        <f>IF(AND($G39=Lists!$D$41,$D39=AS$7),$F39,"")</f>
        <v/>
      </c>
      <c r="AT39" s="537" t="str">
        <f>IF(AND($G39=Lists!$D$41,$D39=AT$7),$F39,"")</f>
        <v/>
      </c>
      <c r="AU39" s="537" t="str">
        <f>IF(AND($G39=Lists!$D$41,$D39=AU$7),$F39,"")</f>
        <v/>
      </c>
      <c r="AV39" s="537" t="str">
        <f>IF(AND($G39=Lists!$D$41,$D39=AV$7),$F39,"")</f>
        <v/>
      </c>
      <c r="AW39" s="537" t="str">
        <f>IF(AND($G39=Lists!$D$41,$D39=AW$7),$F39,"")</f>
        <v/>
      </c>
      <c r="AX39" s="537" t="str">
        <f>IF(AND($G39=Lists!$D$41,$D39=AX$7),$F39,"")</f>
        <v/>
      </c>
      <c r="AY39" s="537" t="str">
        <f>IF(AND($G39=Lists!$D$41,$D39=AY$7),$F39,"")</f>
        <v/>
      </c>
      <c r="AZ39" s="537" t="str">
        <f>IF(AND($G39=Lists!$D$41,$D39=AZ$7),$F39,"")</f>
        <v/>
      </c>
      <c r="BA39" s="537" t="str">
        <f>IF(AND($G39=Lists!$D$41,$D39=BA$7),$F39,"")</f>
        <v/>
      </c>
      <c r="BB39" s="537" t="str">
        <f>IF(AND($G39=Lists!$D$41,$D39=BB$7),$F39,"")</f>
        <v/>
      </c>
      <c r="BC39" s="537" t="str">
        <f>IF(AND($G39=Lists!$D$41,$D39=BC$7),$F39,"")</f>
        <v/>
      </c>
      <c r="BD39" s="537" t="str">
        <f>IF(AND($G39=Lists!$D$41,$D39=BD$7),$F39,"")</f>
        <v/>
      </c>
      <c r="BE39" s="537" t="str">
        <f>IF(AND($G39=Lists!$D$41,$D39=BE$7),$F39,"")</f>
        <v/>
      </c>
      <c r="BF39" s="537" t="str">
        <f>IF(AND($G39=Lists!$D$41,$D39=BF$7),$F39,"")</f>
        <v/>
      </c>
      <c r="BG39" s="537" t="str">
        <f>IF(AND($G39=Lists!$D$41,$D39=BG$7),$F39,"")</f>
        <v/>
      </c>
      <c r="BH39" s="537" t="str">
        <f>IF(AND($G39=Lists!$D$41,$D39=BH$7),$F39,"")</f>
        <v/>
      </c>
      <c r="BI39" s="537" t="str">
        <f>IF(AND($G39=Lists!$D$41,$D39=BI$7),$F39,"")</f>
        <v/>
      </c>
      <c r="BJ39" s="537" t="str">
        <f>IF(AND($G39=Lists!$D$41,$D39=BJ$7),$F39,"")</f>
        <v/>
      </c>
      <c r="BK39" s="537" t="str">
        <f>IF(AND($G39=Lists!$D$41,$D39=BK$7),$F39,"")</f>
        <v/>
      </c>
      <c r="BL39" s="537" t="str">
        <f>IF(AND($G39=Lists!$D$41,$D39=BL$7),$F39,"")</f>
        <v/>
      </c>
      <c r="BM39" s="537" t="str">
        <f>IF(AND($G39=Lists!$D$41,$D39=BM$7),$F39,"")</f>
        <v/>
      </c>
      <c r="BN39" s="537" t="str">
        <f>IF(AND($G39=Lists!$D$41,$D39=BN$7),$F39,"")</f>
        <v/>
      </c>
      <c r="BO39" s="537" t="str">
        <f>IF(AND($G39=Lists!$D$41,$D39=BO$7),$F39,"")</f>
        <v/>
      </c>
      <c r="BP39" s="537" t="str">
        <f>IF(AND($G39=Lists!$D$41,$D39=BP$7),$F39,"")</f>
        <v/>
      </c>
      <c r="BQ39" s="537" t="str">
        <f>IF(AND($G39=Lists!$D$41,$D39=BQ$7),$F39,"")</f>
        <v/>
      </c>
      <c r="BR39" s="537" t="str">
        <f>IF(AND($G39=Lists!$D$41,$D39=BR$7),$F39,"")</f>
        <v/>
      </c>
      <c r="BS39" s="537" t="str">
        <f>IF(AND($G39=Lists!$D$41,$D39=BS$7),$F39,"")</f>
        <v/>
      </c>
      <c r="BT39" s="537" t="str">
        <f>IF(AND($G39=Lists!$D$41,$D39=BT$7),$F39,"")</f>
        <v/>
      </c>
      <c r="BU39" s="537" t="str">
        <f>IF(AND($G39=Lists!$D$41,$D39=BU$7),$F39,"")</f>
        <v/>
      </c>
      <c r="BV39" s="537" t="str">
        <f>IF(AND($G39=Lists!$D$41,$D39=BV$7),$F39,"")</f>
        <v/>
      </c>
      <c r="BW39" s="537" t="str">
        <f>IF(AND($G39=Lists!$D$41,$D39=BW$7),$F39,"")</f>
        <v/>
      </c>
      <c r="BY39" s="537" t="str">
        <f>IF(AND($G39=Lists!$D$42,$D39=BY$7),$F39,"")</f>
        <v/>
      </c>
      <c r="BZ39" s="537" t="str">
        <f>IF(AND($G39=Lists!$D$42,$D39=BZ$7),$F39,"")</f>
        <v/>
      </c>
      <c r="CA39" s="537" t="str">
        <f>IF(AND($G39=Lists!$D$42,$D39=CA$7),$F39,"")</f>
        <v/>
      </c>
      <c r="CB39" s="537" t="str">
        <f>IF(AND($G39=Lists!$D$42,$D39=CB$7),$F39,"")</f>
        <v/>
      </c>
      <c r="CC39" s="537" t="str">
        <f>IF(AND($G39=Lists!$D$42,$D39=CC$7),$F39,"")</f>
        <v/>
      </c>
      <c r="CD39" s="537" t="str">
        <f>IF(AND($G39=Lists!$D$42,$D39=CD$7),$F39,"")</f>
        <v/>
      </c>
      <c r="CE39" s="537" t="str">
        <f>IF(AND($G39=Lists!$D$42,$D39=CE$7),$F39,"")</f>
        <v/>
      </c>
      <c r="CF39" s="537" t="str">
        <f>IF(AND($G39=Lists!$D$42,$D39=CF$7),$F39,"")</f>
        <v/>
      </c>
      <c r="CG39" s="537" t="str">
        <f>IF(AND($G39=Lists!$D$42,$D39=CG$7),$F39,"")</f>
        <v/>
      </c>
      <c r="CH39" s="537" t="str">
        <f>IF(AND($G39=Lists!$D$42,$D39=CH$7),$F39,"")</f>
        <v/>
      </c>
      <c r="CI39" s="537" t="str">
        <f>IF(AND($G39=Lists!$D$42,$D39=CI$7),$F39,"")</f>
        <v/>
      </c>
      <c r="CJ39" s="537" t="str">
        <f>IF(AND($G39=Lists!$D$42,$D39=CJ$7),$F39,"")</f>
        <v/>
      </c>
      <c r="CK39" s="537" t="str">
        <f>IF(AND($G39=Lists!$D$42,$D39=CK$7),$F39,"")</f>
        <v/>
      </c>
      <c r="CL39" s="537" t="str">
        <f>IF(AND($G39=Lists!$D$42,$D39=CL$7),$F39,"")</f>
        <v/>
      </c>
      <c r="CM39" s="537" t="str">
        <f>IF(AND($G39=Lists!$D$42,$D39=CM$7),$F39,"")</f>
        <v/>
      </c>
      <c r="CN39" s="537" t="str">
        <f>IF(AND($G39=Lists!$D$42,$D39=CN$7),$F39,"")</f>
        <v/>
      </c>
      <c r="CO39" s="537" t="str">
        <f>IF(AND($G39=Lists!$D$42,$D39=CO$7),$F39,"")</f>
        <v/>
      </c>
      <c r="CP39" s="537" t="str">
        <f>IF(AND($G39=Lists!$D$42,$D39=CP$7),$F39,"")</f>
        <v/>
      </c>
      <c r="CQ39" s="537" t="str">
        <f>IF(AND($G39=Lists!$D$42,$D39=CQ$7),$F39,"")</f>
        <v/>
      </c>
      <c r="CR39" s="537" t="str">
        <f>IF(AND($G39=Lists!$D$42,$D39=CR$7),$F39,"")</f>
        <v/>
      </c>
      <c r="CS39" s="537" t="str">
        <f>IF(AND($G39=Lists!$D$42,$D39=CS$7),$F39,"")</f>
        <v/>
      </c>
      <c r="CT39" s="537" t="str">
        <f>IF(AND($G39=Lists!$D$42,$D39=CT$7),$F39,"")</f>
        <v/>
      </c>
      <c r="CU39" s="537" t="str">
        <f>IF(AND($G39=Lists!$D$42,$D39=CU$7),$F39,"")</f>
        <v/>
      </c>
      <c r="CV39" s="537" t="str">
        <f>IF(AND($G39=Lists!$D$42,$D39=CV$7),$F39,"")</f>
        <v/>
      </c>
      <c r="CW39" s="537" t="str">
        <f>IF(AND($G39=Lists!$D$42,$D39=CW$7),$F39,"")</f>
        <v/>
      </c>
      <c r="CX39" s="537" t="str">
        <f>IF(AND($G39=Lists!$D$42,$D39=CX$7),$F39,"")</f>
        <v/>
      </c>
      <c r="CY39" s="537" t="str">
        <f>IF(AND($G39=Lists!$D$42,$D39=CY$7),$F39,"")</f>
        <v/>
      </c>
      <c r="CZ39" s="537" t="str">
        <f>IF(AND($G39=Lists!$D$42,$D39=CZ$7),$F39,"")</f>
        <v/>
      </c>
      <c r="DA39" s="537" t="str">
        <f>IF(AND($G39=Lists!$D$42,$D39=DA$7),$F39,"")</f>
        <v/>
      </c>
      <c r="DB39" s="537" t="str">
        <f>IF(AND($G39=Lists!$D$42,$D39=DB$7),$F39,"")</f>
        <v/>
      </c>
      <c r="DC39" s="537"/>
      <c r="DD39" s="537"/>
      <c r="DE39" s="537" t="str">
        <f>IF(AND($G39=Lists!$D$42,$D39=DE$7),$F39,"")</f>
        <v/>
      </c>
    </row>
    <row r="40" spans="1:109">
      <c r="A40" s="532"/>
      <c r="B40" s="137"/>
      <c r="C40" s="139"/>
      <c r="D40" s="120" t="s">
        <v>1778</v>
      </c>
      <c r="E40" s="89"/>
      <c r="F40" s="128"/>
      <c r="G40" s="55" t="s">
        <v>1809</v>
      </c>
      <c r="H40" s="536"/>
      <c r="I40" s="537">
        <f t="shared" si="22"/>
        <v>0</v>
      </c>
      <c r="J40" s="537" t="str">
        <f t="shared" si="23"/>
        <v/>
      </c>
      <c r="K40" s="537" t="str">
        <f t="shared" si="23"/>
        <v/>
      </c>
      <c r="L40" s="537" t="str">
        <f t="shared" si="17"/>
        <v/>
      </c>
      <c r="M40" s="537" t="str">
        <f t="shared" si="17"/>
        <v/>
      </c>
      <c r="N40" s="537" t="str">
        <f t="shared" si="23"/>
        <v/>
      </c>
      <c r="O40" s="537" t="str">
        <f t="shared" si="23"/>
        <v/>
      </c>
      <c r="P40" s="537" t="str">
        <f t="shared" si="23"/>
        <v/>
      </c>
      <c r="Q40" s="537" t="str">
        <f t="shared" si="23"/>
        <v/>
      </c>
      <c r="R40" s="537" t="str">
        <f t="shared" si="23"/>
        <v/>
      </c>
      <c r="S40" s="537" t="str">
        <f t="shared" si="23"/>
        <v/>
      </c>
      <c r="T40" s="537" t="str">
        <f t="shared" si="23"/>
        <v/>
      </c>
      <c r="U40" s="537" t="str">
        <f t="shared" si="23"/>
        <v/>
      </c>
      <c r="V40" s="537" t="str">
        <f t="shared" si="23"/>
        <v/>
      </c>
      <c r="W40" s="537" t="str">
        <f t="shared" si="23"/>
        <v/>
      </c>
      <c r="X40" s="537" t="str">
        <f t="shared" si="23"/>
        <v/>
      </c>
      <c r="Y40" s="537" t="str">
        <f t="shared" si="23"/>
        <v/>
      </c>
      <c r="Z40" s="537" t="str">
        <f t="shared" si="23"/>
        <v/>
      </c>
      <c r="AA40" s="537" t="str">
        <f t="shared" si="23"/>
        <v/>
      </c>
      <c r="AB40" s="537" t="str">
        <f t="shared" si="23"/>
        <v/>
      </c>
      <c r="AC40" s="537" t="str">
        <f t="shared" si="23"/>
        <v/>
      </c>
      <c r="AD40" s="537" t="str">
        <f t="shared" si="23"/>
        <v/>
      </c>
      <c r="AE40" s="537" t="str">
        <f t="shared" si="18"/>
        <v/>
      </c>
      <c r="AF40" s="537" t="str">
        <f t="shared" si="23"/>
        <v/>
      </c>
      <c r="AG40" s="537" t="str">
        <f t="shared" si="23"/>
        <v/>
      </c>
      <c r="AH40" s="537" t="str">
        <f t="shared" si="23"/>
        <v/>
      </c>
      <c r="AI40" s="537" t="str">
        <f t="shared" si="23"/>
        <v/>
      </c>
      <c r="AJ40" s="537" t="str">
        <f t="shared" si="23"/>
        <v/>
      </c>
      <c r="AK40" s="537" t="str">
        <f t="shared" si="23"/>
        <v/>
      </c>
      <c r="AL40" s="537" t="str">
        <f t="shared" si="23"/>
        <v/>
      </c>
      <c r="AM40" s="537" t="str">
        <f t="shared" si="23"/>
        <v/>
      </c>
      <c r="AN40" s="537" t="str">
        <f t="shared" si="23"/>
        <v/>
      </c>
      <c r="AO40" s="537" t="str">
        <f t="shared" si="23"/>
        <v/>
      </c>
      <c r="AQ40" s="537" t="str">
        <f>IF(AND($G40=Lists!$D$41,$D40=AQ$7),$F40,"")</f>
        <v/>
      </c>
      <c r="AR40" s="537" t="str">
        <f>IF(AND($G40=Lists!$D$41,$D40=AR$7),$F40,"")</f>
        <v/>
      </c>
      <c r="AS40" s="537" t="str">
        <f>IF(AND($G40=Lists!$D$41,$D40=AS$7),$F40,"")</f>
        <v/>
      </c>
      <c r="AT40" s="537" t="str">
        <f>IF(AND($G40=Lists!$D$41,$D40=AT$7),$F40,"")</f>
        <v/>
      </c>
      <c r="AU40" s="537" t="str">
        <f>IF(AND($G40=Lists!$D$41,$D40=AU$7),$F40,"")</f>
        <v/>
      </c>
      <c r="AV40" s="537" t="str">
        <f>IF(AND($G40=Lists!$D$41,$D40=AV$7),$F40,"")</f>
        <v/>
      </c>
      <c r="AW40" s="537" t="str">
        <f>IF(AND($G40=Lists!$D$41,$D40=AW$7),$F40,"")</f>
        <v/>
      </c>
      <c r="AX40" s="537" t="str">
        <f>IF(AND($G40=Lists!$D$41,$D40=AX$7),$F40,"")</f>
        <v/>
      </c>
      <c r="AY40" s="537" t="str">
        <f>IF(AND($G40=Lists!$D$41,$D40=AY$7),$F40,"")</f>
        <v/>
      </c>
      <c r="AZ40" s="537" t="str">
        <f>IF(AND($G40=Lists!$D$41,$D40=AZ$7),$F40,"")</f>
        <v/>
      </c>
      <c r="BA40" s="537" t="str">
        <f>IF(AND($G40=Lists!$D$41,$D40=BA$7),$F40,"")</f>
        <v/>
      </c>
      <c r="BB40" s="537" t="str">
        <f>IF(AND($G40=Lists!$D$41,$D40=BB$7),$F40,"")</f>
        <v/>
      </c>
      <c r="BC40" s="537" t="str">
        <f>IF(AND($G40=Lists!$D$41,$D40=BC$7),$F40,"")</f>
        <v/>
      </c>
      <c r="BD40" s="537" t="str">
        <f>IF(AND($G40=Lists!$D$41,$D40=BD$7),$F40,"")</f>
        <v/>
      </c>
      <c r="BE40" s="537" t="str">
        <f>IF(AND($G40=Lists!$D$41,$D40=BE$7),$F40,"")</f>
        <v/>
      </c>
      <c r="BF40" s="537" t="str">
        <f>IF(AND($G40=Lists!$D$41,$D40=BF$7),$F40,"")</f>
        <v/>
      </c>
      <c r="BG40" s="537" t="str">
        <f>IF(AND($G40=Lists!$D$41,$D40=BG$7),$F40,"")</f>
        <v/>
      </c>
      <c r="BH40" s="537" t="str">
        <f>IF(AND($G40=Lists!$D$41,$D40=BH$7),$F40,"")</f>
        <v/>
      </c>
      <c r="BI40" s="537" t="str">
        <f>IF(AND($G40=Lists!$D$41,$D40=BI$7),$F40,"")</f>
        <v/>
      </c>
      <c r="BJ40" s="537" t="str">
        <f>IF(AND($G40=Lists!$D$41,$D40=BJ$7),$F40,"")</f>
        <v/>
      </c>
      <c r="BK40" s="537" t="str">
        <f>IF(AND($G40=Lists!$D$41,$D40=BK$7),$F40,"")</f>
        <v/>
      </c>
      <c r="BL40" s="537" t="str">
        <f>IF(AND($G40=Lists!$D$41,$D40=BL$7),$F40,"")</f>
        <v/>
      </c>
      <c r="BM40" s="537" t="str">
        <f>IF(AND($G40=Lists!$D$41,$D40=BM$7),$F40,"")</f>
        <v/>
      </c>
      <c r="BN40" s="537" t="str">
        <f>IF(AND($G40=Lists!$D$41,$D40=BN$7),$F40,"")</f>
        <v/>
      </c>
      <c r="BO40" s="537" t="str">
        <f>IF(AND($G40=Lists!$D$41,$D40=BO$7),$F40,"")</f>
        <v/>
      </c>
      <c r="BP40" s="537" t="str">
        <f>IF(AND($G40=Lists!$D$41,$D40=BP$7),$F40,"")</f>
        <v/>
      </c>
      <c r="BQ40" s="537" t="str">
        <f>IF(AND($G40=Lists!$D$41,$D40=BQ$7),$F40,"")</f>
        <v/>
      </c>
      <c r="BR40" s="537" t="str">
        <f>IF(AND($G40=Lists!$D$41,$D40=BR$7),$F40,"")</f>
        <v/>
      </c>
      <c r="BS40" s="537" t="str">
        <f>IF(AND($G40=Lists!$D$41,$D40=BS$7),$F40,"")</f>
        <v/>
      </c>
      <c r="BT40" s="537" t="str">
        <f>IF(AND($G40=Lists!$D$41,$D40=BT$7),$F40,"")</f>
        <v/>
      </c>
      <c r="BU40" s="537" t="str">
        <f>IF(AND($G40=Lists!$D$41,$D40=BU$7),$F40,"")</f>
        <v/>
      </c>
      <c r="BV40" s="537" t="str">
        <f>IF(AND($G40=Lists!$D$41,$D40=BV$7),$F40,"")</f>
        <v/>
      </c>
      <c r="BW40" s="537" t="str">
        <f>IF(AND($G40=Lists!$D$41,$D40=BW$7),$F40,"")</f>
        <v/>
      </c>
      <c r="BY40" s="537">
        <f>IF(AND($G40=Lists!$D$42,$D40=BY$7),$F40,"")</f>
        <v>0</v>
      </c>
      <c r="BZ40" s="537" t="str">
        <f>IF(AND($G40=Lists!$D$42,$D40=BZ$7),$F40,"")</f>
        <v/>
      </c>
      <c r="CA40" s="537" t="str">
        <f>IF(AND($G40=Lists!$D$42,$D40=CA$7),$F40,"")</f>
        <v/>
      </c>
      <c r="CB40" s="537" t="str">
        <f>IF(AND($G40=Lists!$D$42,$D40=CB$7),$F40,"")</f>
        <v/>
      </c>
      <c r="CC40" s="537" t="str">
        <f>IF(AND($G40=Lists!$D$42,$D40=CC$7),$F40,"")</f>
        <v/>
      </c>
      <c r="CD40" s="537" t="str">
        <f>IF(AND($G40=Lists!$D$42,$D40=CD$7),$F40,"")</f>
        <v/>
      </c>
      <c r="CE40" s="537" t="str">
        <f>IF(AND($G40=Lists!$D$42,$D40=CE$7),$F40,"")</f>
        <v/>
      </c>
      <c r="CF40" s="537" t="str">
        <f>IF(AND($G40=Lists!$D$42,$D40=CF$7),$F40,"")</f>
        <v/>
      </c>
      <c r="CG40" s="537" t="str">
        <f>IF(AND($G40=Lists!$D$42,$D40=CG$7),$F40,"")</f>
        <v/>
      </c>
      <c r="CH40" s="537" t="str">
        <f>IF(AND($G40=Lists!$D$42,$D40=CH$7),$F40,"")</f>
        <v/>
      </c>
      <c r="CI40" s="537" t="str">
        <f>IF(AND($G40=Lists!$D$42,$D40=CI$7),$F40,"")</f>
        <v/>
      </c>
      <c r="CJ40" s="537" t="str">
        <f>IF(AND($G40=Lists!$D$42,$D40=CJ$7),$F40,"")</f>
        <v/>
      </c>
      <c r="CK40" s="537" t="str">
        <f>IF(AND($G40=Lists!$D$42,$D40=CK$7),$F40,"")</f>
        <v/>
      </c>
      <c r="CL40" s="537" t="str">
        <f>IF(AND($G40=Lists!$D$42,$D40=CL$7),$F40,"")</f>
        <v/>
      </c>
      <c r="CM40" s="537" t="str">
        <f>IF(AND($G40=Lists!$D$42,$D40=CM$7),$F40,"")</f>
        <v/>
      </c>
      <c r="CN40" s="537" t="str">
        <f>IF(AND($G40=Lists!$D$42,$D40=CN$7),$F40,"")</f>
        <v/>
      </c>
      <c r="CO40" s="537" t="str">
        <f>IF(AND($G40=Lists!$D$42,$D40=CO$7),$F40,"")</f>
        <v/>
      </c>
      <c r="CP40" s="537" t="str">
        <f>IF(AND($G40=Lists!$D$42,$D40=CP$7),$F40,"")</f>
        <v/>
      </c>
      <c r="CQ40" s="537" t="str">
        <f>IF(AND($G40=Lists!$D$42,$D40=CQ$7),$F40,"")</f>
        <v/>
      </c>
      <c r="CR40" s="537" t="str">
        <f>IF(AND($G40=Lists!$D$42,$D40=CR$7),$F40,"")</f>
        <v/>
      </c>
      <c r="CS40" s="537" t="str">
        <f>IF(AND($G40=Lists!$D$42,$D40=CS$7),$F40,"")</f>
        <v/>
      </c>
      <c r="CT40" s="537" t="str">
        <f>IF(AND($G40=Lists!$D$42,$D40=CT$7),$F40,"")</f>
        <v/>
      </c>
      <c r="CU40" s="537" t="str">
        <f>IF(AND($G40=Lists!$D$42,$D40=CU$7),$F40,"")</f>
        <v/>
      </c>
      <c r="CV40" s="537" t="str">
        <f>IF(AND($G40=Lists!$D$42,$D40=CV$7),$F40,"")</f>
        <v/>
      </c>
      <c r="CW40" s="537" t="str">
        <f>IF(AND($G40=Lists!$D$42,$D40=CW$7),$F40,"")</f>
        <v/>
      </c>
      <c r="CX40" s="537" t="str">
        <f>IF(AND($G40=Lists!$D$42,$D40=CX$7),$F40,"")</f>
        <v/>
      </c>
      <c r="CY40" s="537" t="str">
        <f>IF(AND($G40=Lists!$D$42,$D40=CY$7),$F40,"")</f>
        <v/>
      </c>
      <c r="CZ40" s="537" t="str">
        <f>IF(AND($G40=Lists!$D$42,$D40=CZ$7),$F40,"")</f>
        <v/>
      </c>
      <c r="DA40" s="537" t="str">
        <f>IF(AND($G40=Lists!$D$42,$D40=DA$7),$F40,"")</f>
        <v/>
      </c>
      <c r="DB40" s="537" t="str">
        <f>IF(AND($G40=Lists!$D$42,$D40=DB$7),$F40,"")</f>
        <v/>
      </c>
      <c r="DC40" s="537"/>
      <c r="DD40" s="537"/>
      <c r="DE40" s="537" t="str">
        <f>IF(AND($G40=Lists!$D$42,$D40=DE$7),$F40,"")</f>
        <v/>
      </c>
    </row>
    <row r="41" spans="1:109">
      <c r="A41" s="532"/>
      <c r="B41" s="137"/>
      <c r="C41" s="139"/>
      <c r="D41" s="120" t="s">
        <v>1778</v>
      </c>
      <c r="E41" s="89"/>
      <c r="F41" s="128"/>
      <c r="G41" s="55" t="s">
        <v>1809</v>
      </c>
      <c r="H41" s="536"/>
      <c r="I41" s="537">
        <f t="shared" si="22"/>
        <v>0</v>
      </c>
      <c r="J41" s="537" t="str">
        <f t="shared" si="23"/>
        <v/>
      </c>
      <c r="K41" s="537" t="str">
        <f t="shared" si="23"/>
        <v/>
      </c>
      <c r="L41" s="537" t="str">
        <f t="shared" si="17"/>
        <v/>
      </c>
      <c r="M41" s="537" t="str">
        <f t="shared" si="17"/>
        <v/>
      </c>
      <c r="N41" s="537" t="str">
        <f t="shared" si="23"/>
        <v/>
      </c>
      <c r="O41" s="537" t="str">
        <f t="shared" si="23"/>
        <v/>
      </c>
      <c r="P41" s="537" t="str">
        <f t="shared" si="23"/>
        <v/>
      </c>
      <c r="Q41" s="537" t="str">
        <f t="shared" si="23"/>
        <v/>
      </c>
      <c r="R41" s="537" t="str">
        <f t="shared" si="23"/>
        <v/>
      </c>
      <c r="S41" s="537" t="str">
        <f t="shared" si="23"/>
        <v/>
      </c>
      <c r="T41" s="537" t="str">
        <f t="shared" si="23"/>
        <v/>
      </c>
      <c r="U41" s="537" t="str">
        <f t="shared" si="23"/>
        <v/>
      </c>
      <c r="V41" s="537" t="str">
        <f t="shared" si="23"/>
        <v/>
      </c>
      <c r="W41" s="537" t="str">
        <f t="shared" si="23"/>
        <v/>
      </c>
      <c r="X41" s="537" t="str">
        <f t="shared" si="23"/>
        <v/>
      </c>
      <c r="Y41" s="537" t="str">
        <f t="shared" si="23"/>
        <v/>
      </c>
      <c r="Z41" s="537" t="str">
        <f t="shared" si="23"/>
        <v/>
      </c>
      <c r="AA41" s="537" t="str">
        <f t="shared" si="23"/>
        <v/>
      </c>
      <c r="AB41" s="537" t="str">
        <f t="shared" si="23"/>
        <v/>
      </c>
      <c r="AC41" s="537" t="str">
        <f t="shared" si="23"/>
        <v/>
      </c>
      <c r="AD41" s="537" t="str">
        <f t="shared" si="23"/>
        <v/>
      </c>
      <c r="AE41" s="537" t="str">
        <f t="shared" si="18"/>
        <v/>
      </c>
      <c r="AF41" s="537" t="str">
        <f t="shared" si="23"/>
        <v/>
      </c>
      <c r="AG41" s="537" t="str">
        <f t="shared" si="23"/>
        <v/>
      </c>
      <c r="AH41" s="537" t="str">
        <f t="shared" si="23"/>
        <v/>
      </c>
      <c r="AI41" s="537" t="str">
        <f t="shared" si="23"/>
        <v/>
      </c>
      <c r="AJ41" s="537" t="str">
        <f t="shared" si="23"/>
        <v/>
      </c>
      <c r="AK41" s="537" t="str">
        <f t="shared" si="23"/>
        <v/>
      </c>
      <c r="AL41" s="537" t="str">
        <f t="shared" si="23"/>
        <v/>
      </c>
      <c r="AM41" s="537" t="str">
        <f t="shared" si="23"/>
        <v/>
      </c>
      <c r="AN41" s="537" t="str">
        <f t="shared" si="23"/>
        <v/>
      </c>
      <c r="AO41" s="537" t="str">
        <f t="shared" si="23"/>
        <v/>
      </c>
      <c r="AQ41" s="537" t="str">
        <f>IF(AND($G41=Lists!$D$41,$D41=AQ$7),$F41,"")</f>
        <v/>
      </c>
      <c r="AR41" s="537" t="str">
        <f>IF(AND($G41=Lists!$D$41,$D41=AR$7),$F41,"")</f>
        <v/>
      </c>
      <c r="AS41" s="537" t="str">
        <f>IF(AND($G41=Lists!$D$41,$D41=AS$7),$F41,"")</f>
        <v/>
      </c>
      <c r="AT41" s="537" t="str">
        <f>IF(AND($G41=Lists!$D$41,$D41=AT$7),$F41,"")</f>
        <v/>
      </c>
      <c r="AU41" s="537" t="str">
        <f>IF(AND($G41=Lists!$D$41,$D41=AU$7),$F41,"")</f>
        <v/>
      </c>
      <c r="AV41" s="537" t="str">
        <f>IF(AND($G41=Lists!$D$41,$D41=AV$7),$F41,"")</f>
        <v/>
      </c>
      <c r="AW41" s="537" t="str">
        <f>IF(AND($G41=Lists!$D$41,$D41=AW$7),$F41,"")</f>
        <v/>
      </c>
      <c r="AX41" s="537" t="str">
        <f>IF(AND($G41=Lists!$D$41,$D41=AX$7),$F41,"")</f>
        <v/>
      </c>
      <c r="AY41" s="537" t="str">
        <f>IF(AND($G41=Lists!$D$41,$D41=AY$7),$F41,"")</f>
        <v/>
      </c>
      <c r="AZ41" s="537" t="str">
        <f>IF(AND($G41=Lists!$D$41,$D41=AZ$7),$F41,"")</f>
        <v/>
      </c>
      <c r="BA41" s="537" t="str">
        <f>IF(AND($G41=Lists!$D$41,$D41=BA$7),$F41,"")</f>
        <v/>
      </c>
      <c r="BB41" s="537" t="str">
        <f>IF(AND($G41=Lists!$D$41,$D41=BB$7),$F41,"")</f>
        <v/>
      </c>
      <c r="BC41" s="537" t="str">
        <f>IF(AND($G41=Lists!$D$41,$D41=BC$7),$F41,"")</f>
        <v/>
      </c>
      <c r="BD41" s="537" t="str">
        <f>IF(AND($G41=Lists!$D$41,$D41=BD$7),$F41,"")</f>
        <v/>
      </c>
      <c r="BE41" s="537" t="str">
        <f>IF(AND($G41=Lists!$D$41,$D41=BE$7),$F41,"")</f>
        <v/>
      </c>
      <c r="BF41" s="537" t="str">
        <f>IF(AND($G41=Lists!$D$41,$D41=BF$7),$F41,"")</f>
        <v/>
      </c>
      <c r="BG41" s="537" t="str">
        <f>IF(AND($G41=Lists!$D$41,$D41=BG$7),$F41,"")</f>
        <v/>
      </c>
      <c r="BH41" s="537" t="str">
        <f>IF(AND($G41=Lists!$D$41,$D41=BH$7),$F41,"")</f>
        <v/>
      </c>
      <c r="BI41" s="537" t="str">
        <f>IF(AND($G41=Lists!$D$41,$D41=BI$7),$F41,"")</f>
        <v/>
      </c>
      <c r="BJ41" s="537" t="str">
        <f>IF(AND($G41=Lists!$D$41,$D41=BJ$7),$F41,"")</f>
        <v/>
      </c>
      <c r="BK41" s="537" t="str">
        <f>IF(AND($G41=Lists!$D$41,$D41=BK$7),$F41,"")</f>
        <v/>
      </c>
      <c r="BL41" s="537" t="str">
        <f>IF(AND($G41=Lists!$D$41,$D41=BL$7),$F41,"")</f>
        <v/>
      </c>
      <c r="BM41" s="537" t="str">
        <f>IF(AND($G41=Lists!$D$41,$D41=BM$7),$F41,"")</f>
        <v/>
      </c>
      <c r="BN41" s="537" t="str">
        <f>IF(AND($G41=Lists!$D$41,$D41=BN$7),$F41,"")</f>
        <v/>
      </c>
      <c r="BO41" s="537" t="str">
        <f>IF(AND($G41=Lists!$D$41,$D41=BO$7),$F41,"")</f>
        <v/>
      </c>
      <c r="BP41" s="537" t="str">
        <f>IF(AND($G41=Lists!$D$41,$D41=BP$7),$F41,"")</f>
        <v/>
      </c>
      <c r="BQ41" s="537" t="str">
        <f>IF(AND($G41=Lists!$D$41,$D41=BQ$7),$F41,"")</f>
        <v/>
      </c>
      <c r="BR41" s="537" t="str">
        <f>IF(AND($G41=Lists!$D$41,$D41=BR$7),$F41,"")</f>
        <v/>
      </c>
      <c r="BS41" s="537" t="str">
        <f>IF(AND($G41=Lists!$D$41,$D41=BS$7),$F41,"")</f>
        <v/>
      </c>
      <c r="BT41" s="537" t="str">
        <f>IF(AND($G41=Lists!$D$41,$D41=BT$7),$F41,"")</f>
        <v/>
      </c>
      <c r="BU41" s="537" t="str">
        <f>IF(AND($G41=Lists!$D$41,$D41=BU$7),$F41,"")</f>
        <v/>
      </c>
      <c r="BV41" s="537" t="str">
        <f>IF(AND($G41=Lists!$D$41,$D41=BV$7),$F41,"")</f>
        <v/>
      </c>
      <c r="BW41" s="537" t="str">
        <f>IF(AND($G41=Lists!$D$41,$D41=BW$7),$F41,"")</f>
        <v/>
      </c>
      <c r="BY41" s="537">
        <f>IF(AND($G41=Lists!$D$42,$D41=BY$7),$F41,"")</f>
        <v>0</v>
      </c>
      <c r="BZ41" s="537" t="str">
        <f>IF(AND($G41=Lists!$D$42,$D41=BZ$7),$F41,"")</f>
        <v/>
      </c>
      <c r="CA41" s="537" t="str">
        <f>IF(AND($G41=Lists!$D$42,$D41=CA$7),$F41,"")</f>
        <v/>
      </c>
      <c r="CB41" s="537" t="str">
        <f>IF(AND($G41=Lists!$D$42,$D41=CB$7),$F41,"")</f>
        <v/>
      </c>
      <c r="CC41" s="537" t="str">
        <f>IF(AND($G41=Lists!$D$42,$D41=CC$7),$F41,"")</f>
        <v/>
      </c>
      <c r="CD41" s="537" t="str">
        <f>IF(AND($G41=Lists!$D$42,$D41=CD$7),$F41,"")</f>
        <v/>
      </c>
      <c r="CE41" s="537" t="str">
        <f>IF(AND($G41=Lists!$D$42,$D41=CE$7),$F41,"")</f>
        <v/>
      </c>
      <c r="CF41" s="537" t="str">
        <f>IF(AND($G41=Lists!$D$42,$D41=CF$7),$F41,"")</f>
        <v/>
      </c>
      <c r="CG41" s="537" t="str">
        <f>IF(AND($G41=Lists!$D$42,$D41=CG$7),$F41,"")</f>
        <v/>
      </c>
      <c r="CH41" s="537" t="str">
        <f>IF(AND($G41=Lists!$D$42,$D41=CH$7),$F41,"")</f>
        <v/>
      </c>
      <c r="CI41" s="537" t="str">
        <f>IF(AND($G41=Lists!$D$42,$D41=CI$7),$F41,"")</f>
        <v/>
      </c>
      <c r="CJ41" s="537" t="str">
        <f>IF(AND($G41=Lists!$D$42,$D41=CJ$7),$F41,"")</f>
        <v/>
      </c>
      <c r="CK41" s="537" t="str">
        <f>IF(AND($G41=Lists!$D$42,$D41=CK$7),$F41,"")</f>
        <v/>
      </c>
      <c r="CL41" s="537" t="str">
        <f>IF(AND($G41=Lists!$D$42,$D41=CL$7),$F41,"")</f>
        <v/>
      </c>
      <c r="CM41" s="537" t="str">
        <f>IF(AND($G41=Lists!$D$42,$D41=CM$7),$F41,"")</f>
        <v/>
      </c>
      <c r="CN41" s="537" t="str">
        <f>IF(AND($G41=Lists!$D$42,$D41=CN$7),$F41,"")</f>
        <v/>
      </c>
      <c r="CO41" s="537" t="str">
        <f>IF(AND($G41=Lists!$D$42,$D41=CO$7),$F41,"")</f>
        <v/>
      </c>
      <c r="CP41" s="537" t="str">
        <f>IF(AND($G41=Lists!$D$42,$D41=CP$7),$F41,"")</f>
        <v/>
      </c>
      <c r="CQ41" s="537" t="str">
        <f>IF(AND($G41=Lists!$D$42,$D41=CQ$7),$F41,"")</f>
        <v/>
      </c>
      <c r="CR41" s="537" t="str">
        <f>IF(AND($G41=Lists!$D$42,$D41=CR$7),$F41,"")</f>
        <v/>
      </c>
      <c r="CS41" s="537" t="str">
        <f>IF(AND($G41=Lists!$D$42,$D41=CS$7),$F41,"")</f>
        <v/>
      </c>
      <c r="CT41" s="537" t="str">
        <f>IF(AND($G41=Lists!$D$42,$D41=CT$7),$F41,"")</f>
        <v/>
      </c>
      <c r="CU41" s="537" t="str">
        <f>IF(AND($G41=Lists!$D$42,$D41=CU$7),$F41,"")</f>
        <v/>
      </c>
      <c r="CV41" s="537" t="str">
        <f>IF(AND($G41=Lists!$D$42,$D41=CV$7),$F41,"")</f>
        <v/>
      </c>
      <c r="CW41" s="537" t="str">
        <f>IF(AND($G41=Lists!$D$42,$D41=CW$7),$F41,"")</f>
        <v/>
      </c>
      <c r="CX41" s="537" t="str">
        <f>IF(AND($G41=Lists!$D$42,$D41=CX$7),$F41,"")</f>
        <v/>
      </c>
      <c r="CY41" s="537" t="str">
        <f>IF(AND($G41=Lists!$D$42,$D41=CY$7),$F41,"")</f>
        <v/>
      </c>
      <c r="CZ41" s="537" t="str">
        <f>IF(AND($G41=Lists!$D$42,$D41=CZ$7),$F41,"")</f>
        <v/>
      </c>
      <c r="DA41" s="537" t="str">
        <f>IF(AND($G41=Lists!$D$42,$D41=DA$7),$F41,"")</f>
        <v/>
      </c>
      <c r="DB41" s="537" t="str">
        <f>IF(AND($G41=Lists!$D$42,$D41=DB$7),$F41,"")</f>
        <v/>
      </c>
      <c r="DC41" s="537"/>
      <c r="DD41" s="537"/>
      <c r="DE41" s="537" t="str">
        <f>IF(AND($G41=Lists!$D$42,$D41=DE$7),$F41,"")</f>
        <v/>
      </c>
    </row>
    <row r="42" spans="1:109">
      <c r="A42" s="532"/>
      <c r="B42" s="137"/>
      <c r="C42" s="139"/>
      <c r="D42" s="120" t="s">
        <v>1778</v>
      </c>
      <c r="E42" s="89"/>
      <c r="F42" s="128"/>
      <c r="G42" s="55" t="s">
        <v>1809</v>
      </c>
      <c r="I42" s="537">
        <f t="shared" si="22"/>
        <v>0</v>
      </c>
      <c r="J42" s="537" t="str">
        <f t="shared" si="23"/>
        <v/>
      </c>
      <c r="K42" s="537" t="str">
        <f t="shared" si="23"/>
        <v/>
      </c>
      <c r="L42" s="537" t="str">
        <f t="shared" si="17"/>
        <v/>
      </c>
      <c r="M42" s="537" t="str">
        <f t="shared" si="17"/>
        <v/>
      </c>
      <c r="N42" s="537" t="str">
        <f t="shared" si="23"/>
        <v/>
      </c>
      <c r="O42" s="537" t="str">
        <f t="shared" si="23"/>
        <v/>
      </c>
      <c r="P42" s="537" t="str">
        <f t="shared" si="23"/>
        <v/>
      </c>
      <c r="Q42" s="537" t="str">
        <f t="shared" si="23"/>
        <v/>
      </c>
      <c r="R42" s="537" t="str">
        <f t="shared" si="23"/>
        <v/>
      </c>
      <c r="S42" s="537" t="str">
        <f t="shared" si="23"/>
        <v/>
      </c>
      <c r="T42" s="537" t="str">
        <f t="shared" si="23"/>
        <v/>
      </c>
      <c r="U42" s="537" t="str">
        <f t="shared" si="23"/>
        <v/>
      </c>
      <c r="V42" s="537" t="str">
        <f t="shared" si="23"/>
        <v/>
      </c>
      <c r="W42" s="537" t="str">
        <f t="shared" si="23"/>
        <v/>
      </c>
      <c r="X42" s="537" t="str">
        <f t="shared" si="23"/>
        <v/>
      </c>
      <c r="Y42" s="537" t="str">
        <f t="shared" si="23"/>
        <v/>
      </c>
      <c r="Z42" s="537" t="str">
        <f t="shared" si="23"/>
        <v/>
      </c>
      <c r="AA42" s="537" t="str">
        <f t="shared" si="23"/>
        <v/>
      </c>
      <c r="AB42" s="537" t="str">
        <f t="shared" si="23"/>
        <v/>
      </c>
      <c r="AC42" s="537" t="str">
        <f t="shared" si="23"/>
        <v/>
      </c>
      <c r="AD42" s="537" t="str">
        <f t="shared" si="23"/>
        <v/>
      </c>
      <c r="AE42" s="537" t="str">
        <f t="shared" si="18"/>
        <v/>
      </c>
      <c r="AF42" s="537" t="str">
        <f t="shared" si="23"/>
        <v/>
      </c>
      <c r="AG42" s="537" t="str">
        <f t="shared" si="23"/>
        <v/>
      </c>
      <c r="AH42" s="537" t="str">
        <f t="shared" si="23"/>
        <v/>
      </c>
      <c r="AI42" s="537" t="str">
        <f t="shared" si="23"/>
        <v/>
      </c>
      <c r="AJ42" s="537" t="str">
        <f t="shared" si="23"/>
        <v/>
      </c>
      <c r="AK42" s="537" t="str">
        <f t="shared" si="23"/>
        <v/>
      </c>
      <c r="AL42" s="537" t="str">
        <f t="shared" si="23"/>
        <v/>
      </c>
      <c r="AM42" s="537" t="str">
        <f t="shared" si="23"/>
        <v/>
      </c>
      <c r="AN42" s="537" t="str">
        <f t="shared" si="23"/>
        <v/>
      </c>
      <c r="AO42" s="537" t="str">
        <f t="shared" si="23"/>
        <v/>
      </c>
      <c r="AQ42" s="537" t="str">
        <f>IF(AND($G42=Lists!$D$41,$D42=AQ$7),$F42,"")</f>
        <v/>
      </c>
      <c r="AR42" s="537" t="str">
        <f>IF(AND($G42=Lists!$D$41,$D42=AR$7),$F42,"")</f>
        <v/>
      </c>
      <c r="AS42" s="537" t="str">
        <f>IF(AND($G42=Lists!$D$41,$D42=AS$7),$F42,"")</f>
        <v/>
      </c>
      <c r="AT42" s="537" t="str">
        <f>IF(AND($G42=Lists!$D$41,$D42=AT$7),$F42,"")</f>
        <v/>
      </c>
      <c r="AU42" s="537" t="str">
        <f>IF(AND($G42=Lists!$D$41,$D42=AU$7),$F42,"")</f>
        <v/>
      </c>
      <c r="AV42" s="537" t="str">
        <f>IF(AND($G42=Lists!$D$41,$D42=AV$7),$F42,"")</f>
        <v/>
      </c>
      <c r="AW42" s="537" t="str">
        <f>IF(AND($G42=Lists!$D$41,$D42=AW$7),$F42,"")</f>
        <v/>
      </c>
      <c r="AX42" s="537" t="str">
        <f>IF(AND($G42=Lists!$D$41,$D42=AX$7),$F42,"")</f>
        <v/>
      </c>
      <c r="AY42" s="537" t="str">
        <f>IF(AND($G42=Lists!$D$41,$D42=AY$7),$F42,"")</f>
        <v/>
      </c>
      <c r="AZ42" s="537" t="str">
        <f>IF(AND($G42=Lists!$D$41,$D42=AZ$7),$F42,"")</f>
        <v/>
      </c>
      <c r="BA42" s="537" t="str">
        <f>IF(AND($G42=Lists!$D$41,$D42=BA$7),$F42,"")</f>
        <v/>
      </c>
      <c r="BB42" s="537" t="str">
        <f>IF(AND($G42=Lists!$D$41,$D42=BB$7),$F42,"")</f>
        <v/>
      </c>
      <c r="BC42" s="537" t="str">
        <f>IF(AND($G42=Lists!$D$41,$D42=BC$7),$F42,"")</f>
        <v/>
      </c>
      <c r="BD42" s="537" t="str">
        <f>IF(AND($G42=Lists!$D$41,$D42=BD$7),$F42,"")</f>
        <v/>
      </c>
      <c r="BE42" s="537" t="str">
        <f>IF(AND($G42=Lists!$D$41,$D42=BE$7),$F42,"")</f>
        <v/>
      </c>
      <c r="BF42" s="537" t="str">
        <f>IF(AND($G42=Lists!$D$41,$D42=BF$7),$F42,"")</f>
        <v/>
      </c>
      <c r="BG42" s="537" t="str">
        <f>IF(AND($G42=Lists!$D$41,$D42=BG$7),$F42,"")</f>
        <v/>
      </c>
      <c r="BH42" s="537" t="str">
        <f>IF(AND($G42=Lists!$D$41,$D42=BH$7),$F42,"")</f>
        <v/>
      </c>
      <c r="BI42" s="537" t="str">
        <f>IF(AND($G42=Lists!$D$41,$D42=BI$7),$F42,"")</f>
        <v/>
      </c>
      <c r="BJ42" s="537" t="str">
        <f>IF(AND($G42=Lists!$D$41,$D42=BJ$7),$F42,"")</f>
        <v/>
      </c>
      <c r="BK42" s="537" t="str">
        <f>IF(AND($G42=Lists!$D$41,$D42=BK$7),$F42,"")</f>
        <v/>
      </c>
      <c r="BL42" s="537" t="str">
        <f>IF(AND($G42=Lists!$D$41,$D42=BL$7),$F42,"")</f>
        <v/>
      </c>
      <c r="BM42" s="537" t="str">
        <f>IF(AND($G42=Lists!$D$41,$D42=BM$7),$F42,"")</f>
        <v/>
      </c>
      <c r="BN42" s="537" t="str">
        <f>IF(AND($G42=Lists!$D$41,$D42=BN$7),$F42,"")</f>
        <v/>
      </c>
      <c r="BO42" s="537" t="str">
        <f>IF(AND($G42=Lists!$D$41,$D42=BO$7),$F42,"")</f>
        <v/>
      </c>
      <c r="BP42" s="537" t="str">
        <f>IF(AND($G42=Lists!$D$41,$D42=BP$7),$F42,"")</f>
        <v/>
      </c>
      <c r="BQ42" s="537" t="str">
        <f>IF(AND($G42=Lists!$D$41,$D42=BQ$7),$F42,"")</f>
        <v/>
      </c>
      <c r="BR42" s="537" t="str">
        <f>IF(AND($G42=Lists!$D$41,$D42=BR$7),$F42,"")</f>
        <v/>
      </c>
      <c r="BS42" s="537" t="str">
        <f>IF(AND($G42=Lists!$D$41,$D42=BS$7),$F42,"")</f>
        <v/>
      </c>
      <c r="BT42" s="537" t="str">
        <f>IF(AND($G42=Lists!$D$41,$D42=BT$7),$F42,"")</f>
        <v/>
      </c>
      <c r="BU42" s="537" t="str">
        <f>IF(AND($G42=Lists!$D$41,$D42=BU$7),$F42,"")</f>
        <v/>
      </c>
      <c r="BV42" s="537" t="str">
        <f>IF(AND($G42=Lists!$D$41,$D42=BV$7),$F42,"")</f>
        <v/>
      </c>
      <c r="BW42" s="537" t="str">
        <f>IF(AND($G42=Lists!$D$41,$D42=BW$7),$F42,"")</f>
        <v/>
      </c>
      <c r="BY42" s="537">
        <f>IF(AND($G42=Lists!$D$42,$D42=BY$7),$F42,"")</f>
        <v>0</v>
      </c>
      <c r="BZ42" s="537" t="str">
        <f>IF(AND($G42=Lists!$D$42,$D42=BZ$7),$F42,"")</f>
        <v/>
      </c>
      <c r="CA42" s="537" t="str">
        <f>IF(AND($G42=Lists!$D$42,$D42=CA$7),$F42,"")</f>
        <v/>
      </c>
      <c r="CB42" s="537" t="str">
        <f>IF(AND($G42=Lists!$D$42,$D42=CB$7),$F42,"")</f>
        <v/>
      </c>
      <c r="CC42" s="537" t="str">
        <f>IF(AND($G42=Lists!$D$42,$D42=CC$7),$F42,"")</f>
        <v/>
      </c>
      <c r="CD42" s="537" t="str">
        <f>IF(AND($G42=Lists!$D$42,$D42=CD$7),$F42,"")</f>
        <v/>
      </c>
      <c r="CE42" s="537" t="str">
        <f>IF(AND($G42=Lists!$D$42,$D42=CE$7),$F42,"")</f>
        <v/>
      </c>
      <c r="CF42" s="537" t="str">
        <f>IF(AND($G42=Lists!$D$42,$D42=CF$7),$F42,"")</f>
        <v/>
      </c>
      <c r="CG42" s="537" t="str">
        <f>IF(AND($G42=Lists!$D$42,$D42=CG$7),$F42,"")</f>
        <v/>
      </c>
      <c r="CH42" s="537" t="str">
        <f>IF(AND($G42=Lists!$D$42,$D42=CH$7),$F42,"")</f>
        <v/>
      </c>
      <c r="CI42" s="537" t="str">
        <f>IF(AND($G42=Lists!$D$42,$D42=CI$7),$F42,"")</f>
        <v/>
      </c>
      <c r="CJ42" s="537" t="str">
        <f>IF(AND($G42=Lists!$D$42,$D42=CJ$7),$F42,"")</f>
        <v/>
      </c>
      <c r="CK42" s="537" t="str">
        <f>IF(AND($G42=Lists!$D$42,$D42=CK$7),$F42,"")</f>
        <v/>
      </c>
      <c r="CL42" s="537" t="str">
        <f>IF(AND($G42=Lists!$D$42,$D42=CL$7),$F42,"")</f>
        <v/>
      </c>
      <c r="CM42" s="537" t="str">
        <f>IF(AND($G42=Lists!$D$42,$D42=CM$7),$F42,"")</f>
        <v/>
      </c>
      <c r="CN42" s="537" t="str">
        <f>IF(AND($G42=Lists!$D$42,$D42=CN$7),$F42,"")</f>
        <v/>
      </c>
      <c r="CO42" s="537" t="str">
        <f>IF(AND($G42=Lists!$D$42,$D42=CO$7),$F42,"")</f>
        <v/>
      </c>
      <c r="CP42" s="537" t="str">
        <f>IF(AND($G42=Lists!$D$42,$D42=CP$7),$F42,"")</f>
        <v/>
      </c>
      <c r="CQ42" s="537" t="str">
        <f>IF(AND($G42=Lists!$D$42,$D42=CQ$7),$F42,"")</f>
        <v/>
      </c>
      <c r="CR42" s="537" t="str">
        <f>IF(AND($G42=Lists!$D$42,$D42=CR$7),$F42,"")</f>
        <v/>
      </c>
      <c r="CS42" s="537" t="str">
        <f>IF(AND($G42=Lists!$D$42,$D42=CS$7),$F42,"")</f>
        <v/>
      </c>
      <c r="CT42" s="537" t="str">
        <f>IF(AND($G42=Lists!$D$42,$D42=CT$7),$F42,"")</f>
        <v/>
      </c>
      <c r="CU42" s="537" t="str">
        <f>IF(AND($G42=Lists!$D$42,$D42=CU$7),$F42,"")</f>
        <v/>
      </c>
      <c r="CV42" s="537" t="str">
        <f>IF(AND($G42=Lists!$D$42,$D42=CV$7),$F42,"")</f>
        <v/>
      </c>
      <c r="CW42" s="537" t="str">
        <f>IF(AND($G42=Lists!$D$42,$D42=CW$7),$F42,"")</f>
        <v/>
      </c>
      <c r="CX42" s="537" t="str">
        <f>IF(AND($G42=Lists!$D$42,$D42=CX$7),$F42,"")</f>
        <v/>
      </c>
      <c r="CY42" s="537" t="str">
        <f>IF(AND($G42=Lists!$D$42,$D42=CY$7),$F42,"")</f>
        <v/>
      </c>
      <c r="CZ42" s="537" t="str">
        <f>IF(AND($G42=Lists!$D$42,$D42=CZ$7),$F42,"")</f>
        <v/>
      </c>
      <c r="DA42" s="537" t="str">
        <f>IF(AND($G42=Lists!$D$42,$D42=DA$7),$F42,"")</f>
        <v/>
      </c>
      <c r="DB42" s="537" t="str">
        <f>IF(AND($G42=Lists!$D$42,$D42=DB$7),$F42,"")</f>
        <v/>
      </c>
      <c r="DC42" s="537"/>
      <c r="DD42" s="537"/>
      <c r="DE42" s="537" t="str">
        <f>IF(AND($G42=Lists!$D$42,$D42=DE$7),$F42,"")</f>
        <v/>
      </c>
    </row>
    <row r="43" spans="1:109">
      <c r="A43" s="532"/>
      <c r="B43" s="137"/>
      <c r="C43" s="139"/>
      <c r="D43" s="120" t="s">
        <v>1778</v>
      </c>
      <c r="E43" s="89"/>
      <c r="F43" s="128"/>
      <c r="G43" s="55" t="s">
        <v>1809</v>
      </c>
      <c r="I43" s="537">
        <f t="shared" si="22"/>
        <v>0</v>
      </c>
      <c r="J43" s="537" t="str">
        <f t="shared" si="23"/>
        <v/>
      </c>
      <c r="K43" s="537" t="str">
        <f t="shared" si="23"/>
        <v/>
      </c>
      <c r="L43" s="537" t="str">
        <f t="shared" si="17"/>
        <v/>
      </c>
      <c r="M43" s="537" t="str">
        <f t="shared" si="17"/>
        <v/>
      </c>
      <c r="N43" s="537" t="str">
        <f t="shared" si="23"/>
        <v/>
      </c>
      <c r="O43" s="537" t="str">
        <f t="shared" si="23"/>
        <v/>
      </c>
      <c r="P43" s="537" t="str">
        <f t="shared" si="23"/>
        <v/>
      </c>
      <c r="Q43" s="537" t="str">
        <f t="shared" si="23"/>
        <v/>
      </c>
      <c r="R43" s="537" t="str">
        <f t="shared" si="23"/>
        <v/>
      </c>
      <c r="S43" s="537" t="str">
        <f t="shared" si="23"/>
        <v/>
      </c>
      <c r="T43" s="537" t="str">
        <f t="shared" si="23"/>
        <v/>
      </c>
      <c r="U43" s="537" t="str">
        <f t="shared" si="23"/>
        <v/>
      </c>
      <c r="V43" s="537" t="str">
        <f t="shared" si="23"/>
        <v/>
      </c>
      <c r="W43" s="537" t="str">
        <f t="shared" si="23"/>
        <v/>
      </c>
      <c r="X43" s="537" t="str">
        <f t="shared" si="23"/>
        <v/>
      </c>
      <c r="Y43" s="537" t="str">
        <f t="shared" si="23"/>
        <v/>
      </c>
      <c r="Z43" s="537" t="str">
        <f t="shared" ref="Z43:AO43" si="24">IF($D43=Z$7,$E43,"")</f>
        <v/>
      </c>
      <c r="AA43" s="537" t="str">
        <f t="shared" si="24"/>
        <v/>
      </c>
      <c r="AB43" s="537" t="str">
        <f t="shared" si="24"/>
        <v/>
      </c>
      <c r="AC43" s="537" t="str">
        <f t="shared" si="24"/>
        <v/>
      </c>
      <c r="AD43" s="537" t="str">
        <f t="shared" si="24"/>
        <v/>
      </c>
      <c r="AE43" s="537" t="str">
        <f t="shared" si="18"/>
        <v/>
      </c>
      <c r="AF43" s="537" t="str">
        <f t="shared" si="24"/>
        <v/>
      </c>
      <c r="AG43" s="537" t="str">
        <f t="shared" si="24"/>
        <v/>
      </c>
      <c r="AH43" s="537" t="str">
        <f t="shared" si="24"/>
        <v/>
      </c>
      <c r="AI43" s="537" t="str">
        <f t="shared" si="24"/>
        <v/>
      </c>
      <c r="AJ43" s="537" t="str">
        <f t="shared" si="24"/>
        <v/>
      </c>
      <c r="AK43" s="537" t="str">
        <f t="shared" si="24"/>
        <v/>
      </c>
      <c r="AL43" s="537" t="str">
        <f t="shared" si="24"/>
        <v/>
      </c>
      <c r="AM43" s="537" t="str">
        <f t="shared" si="24"/>
        <v/>
      </c>
      <c r="AN43" s="537" t="str">
        <f t="shared" si="24"/>
        <v/>
      </c>
      <c r="AO43" s="537" t="str">
        <f t="shared" si="24"/>
        <v/>
      </c>
      <c r="AQ43" s="537" t="str">
        <f>IF(AND($G43=Lists!$D$41,$D43=AQ$7),$F43,"")</f>
        <v/>
      </c>
      <c r="AR43" s="537" t="str">
        <f>IF(AND($G43=Lists!$D$41,$D43=AR$7),$F43,"")</f>
        <v/>
      </c>
      <c r="AS43" s="537" t="str">
        <f>IF(AND($G43=Lists!$D$41,$D43=AS$7),$F43,"")</f>
        <v/>
      </c>
      <c r="AT43" s="537" t="str">
        <f>IF(AND($G43=Lists!$D$41,$D43=AT$7),$F43,"")</f>
        <v/>
      </c>
      <c r="AU43" s="537" t="str">
        <f>IF(AND($G43=Lists!$D$41,$D43=AU$7),$F43,"")</f>
        <v/>
      </c>
      <c r="AV43" s="537" t="str">
        <f>IF(AND($G43=Lists!$D$41,$D43=AV$7),$F43,"")</f>
        <v/>
      </c>
      <c r="AW43" s="537" t="str">
        <f>IF(AND($G43=Lists!$D$41,$D43=AW$7),$F43,"")</f>
        <v/>
      </c>
      <c r="AX43" s="537" t="str">
        <f>IF(AND($G43=Lists!$D$41,$D43=AX$7),$F43,"")</f>
        <v/>
      </c>
      <c r="AY43" s="537" t="str">
        <f>IF(AND($G43=Lists!$D$41,$D43=AY$7),$F43,"")</f>
        <v/>
      </c>
      <c r="AZ43" s="537" t="str">
        <f>IF(AND($G43=Lists!$D$41,$D43=AZ$7),$F43,"")</f>
        <v/>
      </c>
      <c r="BA43" s="537" t="str">
        <f>IF(AND($G43=Lists!$D$41,$D43=BA$7),$F43,"")</f>
        <v/>
      </c>
      <c r="BB43" s="537" t="str">
        <f>IF(AND($G43=Lists!$D$41,$D43=BB$7),$F43,"")</f>
        <v/>
      </c>
      <c r="BC43" s="537" t="str">
        <f>IF(AND($G43=Lists!$D$41,$D43=BC$7),$F43,"")</f>
        <v/>
      </c>
      <c r="BD43" s="537" t="str">
        <f>IF(AND($G43=Lists!$D$41,$D43=BD$7),$F43,"")</f>
        <v/>
      </c>
      <c r="BE43" s="537" t="str">
        <f>IF(AND($G43=Lists!$D$41,$D43=BE$7),$F43,"")</f>
        <v/>
      </c>
      <c r="BF43" s="537" t="str">
        <f>IF(AND($G43=Lists!$D$41,$D43=BF$7),$F43,"")</f>
        <v/>
      </c>
      <c r="BG43" s="537" t="str">
        <f>IF(AND($G43=Lists!$D$41,$D43=BG$7),$F43,"")</f>
        <v/>
      </c>
      <c r="BH43" s="537" t="str">
        <f>IF(AND($G43=Lists!$D$41,$D43=BH$7),$F43,"")</f>
        <v/>
      </c>
      <c r="BI43" s="537" t="str">
        <f>IF(AND($G43=Lists!$D$41,$D43=BI$7),$F43,"")</f>
        <v/>
      </c>
      <c r="BJ43" s="537" t="str">
        <f>IF(AND($G43=Lists!$D$41,$D43=BJ$7),$F43,"")</f>
        <v/>
      </c>
      <c r="BK43" s="537" t="str">
        <f>IF(AND($G43=Lists!$D$41,$D43=BK$7),$F43,"")</f>
        <v/>
      </c>
      <c r="BL43" s="537" t="str">
        <f>IF(AND($G43=Lists!$D$41,$D43=BL$7),$F43,"")</f>
        <v/>
      </c>
      <c r="BM43" s="537" t="str">
        <f>IF(AND($G43=Lists!$D$41,$D43=BM$7),$F43,"")</f>
        <v/>
      </c>
      <c r="BN43" s="537" t="str">
        <f>IF(AND($G43=Lists!$D$41,$D43=BN$7),$F43,"")</f>
        <v/>
      </c>
      <c r="BO43" s="537" t="str">
        <f>IF(AND($G43=Lists!$D$41,$D43=BO$7),$F43,"")</f>
        <v/>
      </c>
      <c r="BP43" s="537" t="str">
        <f>IF(AND($G43=Lists!$D$41,$D43=BP$7),$F43,"")</f>
        <v/>
      </c>
      <c r="BQ43" s="537" t="str">
        <f>IF(AND($G43=Lists!$D$41,$D43=BQ$7),$F43,"")</f>
        <v/>
      </c>
      <c r="BR43" s="537" t="str">
        <f>IF(AND($G43=Lists!$D$41,$D43=BR$7),$F43,"")</f>
        <v/>
      </c>
      <c r="BS43" s="537" t="str">
        <f>IF(AND($G43=Lists!$D$41,$D43=BS$7),$F43,"")</f>
        <v/>
      </c>
      <c r="BT43" s="537" t="str">
        <f>IF(AND($G43=Lists!$D$41,$D43=BT$7),$F43,"")</f>
        <v/>
      </c>
      <c r="BU43" s="537" t="str">
        <f>IF(AND($G43=Lists!$D$41,$D43=BU$7),$F43,"")</f>
        <v/>
      </c>
      <c r="BV43" s="537" t="str">
        <f>IF(AND($G43=Lists!$D$41,$D43=BV$7),$F43,"")</f>
        <v/>
      </c>
      <c r="BW43" s="537" t="str">
        <f>IF(AND($G43=Lists!$D$41,$D43=BW$7),$F43,"")</f>
        <v/>
      </c>
      <c r="BY43" s="537">
        <f>IF(AND($G43=Lists!$D$42,$D43=BY$7),$F43,"")</f>
        <v>0</v>
      </c>
      <c r="BZ43" s="537" t="str">
        <f>IF(AND($G43=Lists!$D$42,$D43=BZ$7),$F43,"")</f>
        <v/>
      </c>
      <c r="CA43" s="537" t="str">
        <f>IF(AND($G43=Lists!$D$42,$D43=CA$7),$F43,"")</f>
        <v/>
      </c>
      <c r="CB43" s="537" t="str">
        <f>IF(AND($G43=Lists!$D$42,$D43=CB$7),$F43,"")</f>
        <v/>
      </c>
      <c r="CC43" s="537" t="str">
        <f>IF(AND($G43=Lists!$D$42,$D43=CC$7),$F43,"")</f>
        <v/>
      </c>
      <c r="CD43" s="537" t="str">
        <f>IF(AND($G43=Lists!$D$42,$D43=CD$7),$F43,"")</f>
        <v/>
      </c>
      <c r="CE43" s="537" t="str">
        <f>IF(AND($G43=Lists!$D$42,$D43=CE$7),$F43,"")</f>
        <v/>
      </c>
      <c r="CF43" s="537" t="str">
        <f>IF(AND($G43=Lists!$D$42,$D43=CF$7),$F43,"")</f>
        <v/>
      </c>
      <c r="CG43" s="537" t="str">
        <f>IF(AND($G43=Lists!$D$42,$D43=CG$7),$F43,"")</f>
        <v/>
      </c>
      <c r="CH43" s="537" t="str">
        <f>IF(AND($G43=Lists!$D$42,$D43=CH$7),$F43,"")</f>
        <v/>
      </c>
      <c r="CI43" s="537" t="str">
        <f>IF(AND($G43=Lists!$D$42,$D43=CI$7),$F43,"")</f>
        <v/>
      </c>
      <c r="CJ43" s="537" t="str">
        <f>IF(AND($G43=Lists!$D$42,$D43=CJ$7),$F43,"")</f>
        <v/>
      </c>
      <c r="CK43" s="537" t="str">
        <f>IF(AND($G43=Lists!$D$42,$D43=CK$7),$F43,"")</f>
        <v/>
      </c>
      <c r="CL43" s="537" t="str">
        <f>IF(AND($G43=Lists!$D$42,$D43=CL$7),$F43,"")</f>
        <v/>
      </c>
      <c r="CM43" s="537" t="str">
        <f>IF(AND($G43=Lists!$D$42,$D43=CM$7),$F43,"")</f>
        <v/>
      </c>
      <c r="CN43" s="537" t="str">
        <f>IF(AND($G43=Lists!$D$42,$D43=CN$7),$F43,"")</f>
        <v/>
      </c>
      <c r="CO43" s="537" t="str">
        <f>IF(AND($G43=Lists!$D$42,$D43=CO$7),$F43,"")</f>
        <v/>
      </c>
      <c r="CP43" s="537" t="str">
        <f>IF(AND($G43=Lists!$D$42,$D43=CP$7),$F43,"")</f>
        <v/>
      </c>
      <c r="CQ43" s="537" t="str">
        <f>IF(AND($G43=Lists!$D$42,$D43=CQ$7),$F43,"")</f>
        <v/>
      </c>
      <c r="CR43" s="537" t="str">
        <f>IF(AND($G43=Lists!$D$42,$D43=CR$7),$F43,"")</f>
        <v/>
      </c>
      <c r="CS43" s="537" t="str">
        <f>IF(AND($G43=Lists!$D$42,$D43=CS$7),$F43,"")</f>
        <v/>
      </c>
      <c r="CT43" s="537" t="str">
        <f>IF(AND($G43=Lists!$D$42,$D43=CT$7),$F43,"")</f>
        <v/>
      </c>
      <c r="CU43" s="537" t="str">
        <f>IF(AND($G43=Lists!$D$42,$D43=CU$7),$F43,"")</f>
        <v/>
      </c>
      <c r="CV43" s="537" t="str">
        <f>IF(AND($G43=Lists!$D$42,$D43=CV$7),$F43,"")</f>
        <v/>
      </c>
      <c r="CW43" s="537" t="str">
        <f>IF(AND($G43=Lists!$D$42,$D43=CW$7),$F43,"")</f>
        <v/>
      </c>
      <c r="CX43" s="537" t="str">
        <f>IF(AND($G43=Lists!$D$42,$D43=CX$7),$F43,"")</f>
        <v/>
      </c>
      <c r="CY43" s="537" t="str">
        <f>IF(AND($G43=Lists!$D$42,$D43=CY$7),$F43,"")</f>
        <v/>
      </c>
      <c r="CZ43" s="537" t="str">
        <f>IF(AND($G43=Lists!$D$42,$D43=CZ$7),$F43,"")</f>
        <v/>
      </c>
      <c r="DA43" s="537" t="str">
        <f>IF(AND($G43=Lists!$D$42,$D43=DA$7),$F43,"")</f>
        <v/>
      </c>
      <c r="DB43" s="537" t="str">
        <f>IF(AND($G43=Lists!$D$42,$D43=DB$7),$F43,"")</f>
        <v/>
      </c>
      <c r="DC43" s="537"/>
      <c r="DD43" s="537"/>
      <c r="DE43" s="537" t="str">
        <f>IF(AND($G43=Lists!$D$42,$D43=DE$7),$F43,"")</f>
        <v/>
      </c>
    </row>
    <row r="44" spans="1:109" ht="16.350000000000001" customHeight="1">
      <c r="A44" s="538"/>
      <c r="B44" s="539"/>
      <c r="C44" s="539"/>
      <c r="D44" s="539"/>
      <c r="E44" s="539"/>
      <c r="F44" s="540"/>
      <c r="G44" s="540"/>
      <c r="I44" s="494"/>
      <c r="J44" s="494"/>
      <c r="K44" s="494"/>
      <c r="L44" s="494"/>
      <c r="M44" s="494"/>
      <c r="N44" s="494"/>
      <c r="AQ44" s="494"/>
      <c r="AR44" s="494"/>
      <c r="AS44" s="494"/>
      <c r="AT44" s="494"/>
      <c r="AU44" s="494"/>
      <c r="AV44" s="494"/>
    </row>
    <row r="45" spans="1:109" ht="16.350000000000001" customHeight="1"/>
  </sheetData>
  <sheetProtection algorithmName="SHA-512" hashValue="w5GulmajzGVpchb1dylBsNzDEraOOe75phW2qYCndVeiBXEIdBaNuYkorL5lEqB+fK97+nxTAYIYqbui/EKhqg==" saltValue="FcR/i5tu9xrzr9a8iqIe6A==" spinCount="100000" sheet="1" objects="1" scenarios="1" autoFilter="0"/>
  <dataValidations count="3">
    <dataValidation type="list" allowBlank="1" showInputMessage="1" showErrorMessage="1" sqref="D9:D43" xr:uid="{18760D9D-ECE3-44E4-9EE6-8D8E2B42945B}">
      <formula1>WellList</formula1>
    </dataValidation>
    <dataValidation type="list" allowBlank="1" showInputMessage="1" showErrorMessage="1" sqref="G9:G43" xr:uid="{430B5B19-0B02-4221-AFB3-E6C2CAF57E0E}">
      <formula1>seed_type_wells</formula1>
    </dataValidation>
    <dataValidation type="whole" allowBlank="1" showInputMessage="1" showErrorMessage="1" sqref="E9:E43" xr:uid="{C6CD9A57-423E-41D1-8C0F-3A6422031C91}">
      <formula1>0</formula1>
      <formula2>100000</formula2>
    </dataValidation>
  </dataValidations>
  <hyperlinks>
    <hyperlink ref="B3" location="CONTENTS" display="Contents" xr:uid="{874AF73C-5E74-458F-8A6F-7B1CE27F8C10}"/>
  </hyperlinks>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55394-B41C-4014-B1FC-9F5DBC9F3B56}">
  <sheetPr codeName="Sheet9">
    <tabColor theme="9" tint="-0.499984740745262"/>
  </sheetPr>
  <dimension ref="A2:AR110"/>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9.28515625" defaultRowHeight="12"/>
  <cols>
    <col min="1" max="1" width="1.42578125" style="494" customWidth="1"/>
    <col min="2" max="2" width="17.28515625" style="494" customWidth="1"/>
    <col min="3" max="3" width="69.5703125" style="494" bestFit="1" customWidth="1"/>
    <col min="4" max="4" width="44.28515625" style="494" customWidth="1"/>
    <col min="5" max="7" width="18.5703125" style="497" customWidth="1"/>
    <col min="8" max="9" width="18.5703125" style="494" customWidth="1"/>
    <col min="10" max="10" width="18.5703125" style="497" customWidth="1"/>
    <col min="11" max="13" width="16.5703125" style="497" customWidth="1"/>
    <col min="14" max="43" width="16.5703125" style="494" customWidth="1"/>
    <col min="44" max="16384" width="9.28515625" style="494"/>
  </cols>
  <sheetData>
    <row r="2" spans="1:13" ht="16.350000000000001" customHeight="1">
      <c r="B2" s="225" t="str">
        <f>CONTENTS!$B$2</f>
        <v>Petroleum and Gas Estimated Rehabilitation Cost Calculator</v>
      </c>
      <c r="C2" s="496"/>
      <c r="D2" s="525" t="s">
        <v>1810</v>
      </c>
      <c r="E2" s="525" t="s">
        <v>1811</v>
      </c>
      <c r="F2" s="525" t="s">
        <v>1812</v>
      </c>
      <c r="G2" s="525" t="s">
        <v>1726</v>
      </c>
      <c r="H2" s="497"/>
      <c r="I2" s="497"/>
      <c r="K2" s="494"/>
      <c r="L2" s="494"/>
      <c r="M2" s="494"/>
    </row>
    <row r="3" spans="1:13" ht="19.350000000000001" customHeight="1">
      <c r="B3" s="20" t="s">
        <v>305</v>
      </c>
      <c r="C3" s="498" t="s">
        <v>1813</v>
      </c>
      <c r="D3" s="502">
        <f>SUM(G26:I26,G48:I48)</f>
        <v>0</v>
      </c>
      <c r="E3" s="502">
        <f>SUM(K71:P71)</f>
        <v>0</v>
      </c>
      <c r="F3" s="502">
        <f>SUM(L110:AO110,H110:J110)</f>
        <v>0</v>
      </c>
      <c r="G3" s="502">
        <f>ERC</f>
        <v>0</v>
      </c>
      <c r="H3" s="497"/>
      <c r="I3" s="497"/>
      <c r="J3" s="494"/>
      <c r="K3" s="494"/>
      <c r="L3" s="494"/>
      <c r="M3" s="494"/>
    </row>
    <row r="4" spans="1:13" ht="19.350000000000001" customHeight="1">
      <c r="D4" s="497"/>
      <c r="F4" s="525"/>
      <c r="H4" s="497"/>
      <c r="I4" s="497"/>
      <c r="J4" s="494"/>
      <c r="K4" s="494"/>
      <c r="L4" s="494"/>
      <c r="M4" s="494"/>
    </row>
    <row r="5" spans="1:13" ht="16.350000000000001" customHeight="1" thickBot="1">
      <c r="B5" s="541"/>
      <c r="C5" s="541" t="s">
        <v>1814</v>
      </c>
      <c r="D5" s="526" t="s">
        <v>0</v>
      </c>
      <c r="E5" s="542">
        <f>Assumptions!$E$16</f>
        <v>0.05</v>
      </c>
      <c r="F5" s="530"/>
      <c r="H5" s="497"/>
      <c r="J5" s="494"/>
      <c r="K5" s="494"/>
      <c r="L5" s="494"/>
      <c r="M5" s="494"/>
    </row>
    <row r="6" spans="1:13" ht="36">
      <c r="A6" s="532"/>
      <c r="B6" s="509" t="s">
        <v>439</v>
      </c>
      <c r="C6" s="509" t="s">
        <v>1774</v>
      </c>
      <c r="D6" s="509" t="s">
        <v>1815</v>
      </c>
      <c r="E6" s="543" t="s">
        <v>1816</v>
      </c>
      <c r="F6" s="509" t="s">
        <v>1817</v>
      </c>
      <c r="G6" s="509" t="str">
        <f>Lists!C41</f>
        <v>Pasture</v>
      </c>
      <c r="H6" s="509" t="str">
        <f>Lists!C42</f>
        <v>Native</v>
      </c>
      <c r="I6" s="509" t="str">
        <f>Lists!C43</f>
        <v>Arid</v>
      </c>
      <c r="J6" s="494"/>
      <c r="K6" s="494"/>
      <c r="L6" s="494"/>
      <c r="M6" s="494"/>
    </row>
    <row r="7" spans="1:13" ht="18" customHeight="1">
      <c r="A7" s="532"/>
      <c r="B7" s="533"/>
      <c r="C7" s="533"/>
      <c r="D7" s="533" t="s">
        <v>82</v>
      </c>
      <c r="E7" s="533" t="s">
        <v>82</v>
      </c>
      <c r="F7" s="544" t="s">
        <v>1777</v>
      </c>
      <c r="H7" s="497"/>
      <c r="J7" s="532"/>
      <c r="K7" s="494"/>
      <c r="L7" s="494"/>
      <c r="M7" s="494"/>
    </row>
    <row r="8" spans="1:13">
      <c r="A8" s="532"/>
      <c r="B8" s="137"/>
      <c r="C8" s="139"/>
      <c r="D8" s="55"/>
      <c r="E8" s="121">
        <f t="shared" ref="E8:E21" si="0">D8*$E$5</f>
        <v>0</v>
      </c>
      <c r="F8" s="56" t="s">
        <v>124</v>
      </c>
      <c r="G8" s="545">
        <f>IF($F8=G$6,$E8,"")</f>
        <v>0</v>
      </c>
      <c r="H8" s="545" t="str">
        <f t="shared" ref="H8:I21" si="1">IF($F8=H$6,$E8,"")</f>
        <v/>
      </c>
      <c r="I8" s="545" t="str">
        <f t="shared" si="1"/>
        <v/>
      </c>
      <c r="J8" s="494"/>
      <c r="K8" s="494"/>
      <c r="L8" s="494"/>
      <c r="M8" s="494"/>
    </row>
    <row r="9" spans="1:13">
      <c r="A9" s="532"/>
      <c r="B9" s="137"/>
      <c r="C9" s="139"/>
      <c r="D9" s="55"/>
      <c r="E9" s="121">
        <f t="shared" si="0"/>
        <v>0</v>
      </c>
      <c r="F9" s="56" t="s">
        <v>133</v>
      </c>
      <c r="G9" s="545" t="str">
        <f t="shared" ref="G9:G21" si="2">IF($F9=G$6,$E9,"")</f>
        <v/>
      </c>
      <c r="H9" s="545">
        <f t="shared" si="1"/>
        <v>0</v>
      </c>
      <c r="I9" s="545" t="str">
        <f t="shared" si="1"/>
        <v/>
      </c>
      <c r="M9" s="494"/>
    </row>
    <row r="10" spans="1:13">
      <c r="A10" s="532"/>
      <c r="B10" s="137"/>
      <c r="C10" s="139"/>
      <c r="D10" s="55"/>
      <c r="E10" s="121">
        <f t="shared" si="0"/>
        <v>0</v>
      </c>
      <c r="F10" s="56" t="s">
        <v>99</v>
      </c>
      <c r="G10" s="545" t="str">
        <f t="shared" si="2"/>
        <v/>
      </c>
      <c r="H10" s="545" t="str">
        <f t="shared" si="1"/>
        <v/>
      </c>
      <c r="I10" s="545">
        <f t="shared" si="1"/>
        <v>0</v>
      </c>
      <c r="M10" s="494"/>
    </row>
    <row r="11" spans="1:13">
      <c r="A11" s="532"/>
      <c r="B11" s="137"/>
      <c r="C11" s="139"/>
      <c r="D11" s="55"/>
      <c r="E11" s="121">
        <f t="shared" si="0"/>
        <v>0</v>
      </c>
      <c r="F11" s="56" t="s">
        <v>124</v>
      </c>
      <c r="G11" s="545">
        <f t="shared" si="2"/>
        <v>0</v>
      </c>
      <c r="H11" s="545" t="str">
        <f t="shared" si="1"/>
        <v/>
      </c>
      <c r="I11" s="545" t="str">
        <f t="shared" si="1"/>
        <v/>
      </c>
      <c r="M11" s="494"/>
    </row>
    <row r="12" spans="1:13">
      <c r="A12" s="532"/>
      <c r="B12" s="137"/>
      <c r="C12" s="139"/>
      <c r="D12" s="55"/>
      <c r="E12" s="121">
        <f t="shared" si="0"/>
        <v>0</v>
      </c>
      <c r="F12" s="56" t="s">
        <v>133</v>
      </c>
      <c r="G12" s="545" t="str">
        <f t="shared" si="2"/>
        <v/>
      </c>
      <c r="H12" s="545">
        <f t="shared" si="1"/>
        <v>0</v>
      </c>
      <c r="I12" s="545" t="str">
        <f t="shared" si="1"/>
        <v/>
      </c>
      <c r="K12" s="494"/>
      <c r="M12" s="494"/>
    </row>
    <row r="13" spans="1:13">
      <c r="A13" s="532"/>
      <c r="B13" s="137"/>
      <c r="C13" s="139"/>
      <c r="D13" s="55"/>
      <c r="E13" s="121">
        <f t="shared" si="0"/>
        <v>0</v>
      </c>
      <c r="F13" s="56" t="s">
        <v>124</v>
      </c>
      <c r="G13" s="545">
        <f t="shared" si="2"/>
        <v>0</v>
      </c>
      <c r="H13" s="545" t="str">
        <f t="shared" si="1"/>
        <v/>
      </c>
      <c r="I13" s="545" t="str">
        <f t="shared" si="1"/>
        <v/>
      </c>
      <c r="M13" s="494"/>
    </row>
    <row r="14" spans="1:13">
      <c r="A14" s="532"/>
      <c r="B14" s="137"/>
      <c r="C14" s="139"/>
      <c r="D14" s="55"/>
      <c r="E14" s="121">
        <f t="shared" si="0"/>
        <v>0</v>
      </c>
      <c r="F14" s="56" t="s">
        <v>124</v>
      </c>
      <c r="G14" s="545">
        <f t="shared" si="2"/>
        <v>0</v>
      </c>
      <c r="H14" s="545" t="str">
        <f t="shared" si="1"/>
        <v/>
      </c>
      <c r="I14" s="545" t="str">
        <f t="shared" si="1"/>
        <v/>
      </c>
      <c r="M14" s="494"/>
    </row>
    <row r="15" spans="1:13">
      <c r="A15" s="532"/>
      <c r="B15" s="137"/>
      <c r="C15" s="139"/>
      <c r="D15" s="55"/>
      <c r="E15" s="121">
        <f t="shared" si="0"/>
        <v>0</v>
      </c>
      <c r="F15" s="56" t="s">
        <v>124</v>
      </c>
      <c r="G15" s="545">
        <f t="shared" si="2"/>
        <v>0</v>
      </c>
      <c r="H15" s="545" t="str">
        <f t="shared" si="1"/>
        <v/>
      </c>
      <c r="I15" s="545" t="str">
        <f t="shared" si="1"/>
        <v/>
      </c>
      <c r="J15" s="494"/>
      <c r="K15" s="494"/>
      <c r="L15" s="494"/>
      <c r="M15" s="494"/>
    </row>
    <row r="16" spans="1:13">
      <c r="A16" s="532"/>
      <c r="B16" s="137"/>
      <c r="C16" s="139"/>
      <c r="D16" s="55"/>
      <c r="E16" s="121">
        <f t="shared" si="0"/>
        <v>0</v>
      </c>
      <c r="F16" s="56" t="s">
        <v>124</v>
      </c>
      <c r="G16" s="545">
        <f t="shared" si="2"/>
        <v>0</v>
      </c>
      <c r="H16" s="545" t="str">
        <f t="shared" si="1"/>
        <v/>
      </c>
      <c r="I16" s="545" t="str">
        <f t="shared" si="1"/>
        <v/>
      </c>
      <c r="J16" s="494"/>
      <c r="K16" s="494"/>
      <c r="L16" s="494"/>
      <c r="M16" s="494"/>
    </row>
    <row r="17" spans="1:13">
      <c r="A17" s="532"/>
      <c r="B17" s="137"/>
      <c r="C17" s="139"/>
      <c r="D17" s="55"/>
      <c r="E17" s="121">
        <f t="shared" si="0"/>
        <v>0</v>
      </c>
      <c r="F17" s="56" t="s">
        <v>124</v>
      </c>
      <c r="G17" s="545">
        <f t="shared" si="2"/>
        <v>0</v>
      </c>
      <c r="H17" s="545" t="str">
        <f t="shared" si="1"/>
        <v/>
      </c>
      <c r="I17" s="545" t="str">
        <f t="shared" si="1"/>
        <v/>
      </c>
      <c r="J17" s="494"/>
      <c r="K17" s="494"/>
      <c r="L17" s="494"/>
      <c r="M17" s="494"/>
    </row>
    <row r="18" spans="1:13">
      <c r="A18" s="532"/>
      <c r="B18" s="137"/>
      <c r="C18" s="139"/>
      <c r="D18" s="55"/>
      <c r="E18" s="121">
        <f t="shared" si="0"/>
        <v>0</v>
      </c>
      <c r="F18" s="56" t="s">
        <v>99</v>
      </c>
      <c r="G18" s="545" t="str">
        <f t="shared" si="2"/>
        <v/>
      </c>
      <c r="H18" s="545" t="str">
        <f t="shared" si="1"/>
        <v/>
      </c>
      <c r="I18" s="545">
        <f t="shared" si="1"/>
        <v>0</v>
      </c>
      <c r="J18" s="494"/>
      <c r="K18" s="494"/>
      <c r="L18" s="494"/>
      <c r="M18" s="494"/>
    </row>
    <row r="19" spans="1:13">
      <c r="A19" s="532"/>
      <c r="B19" s="137"/>
      <c r="C19" s="139"/>
      <c r="D19" s="55"/>
      <c r="E19" s="121">
        <f t="shared" si="0"/>
        <v>0</v>
      </c>
      <c r="F19" s="56" t="s">
        <v>124</v>
      </c>
      <c r="G19" s="545">
        <f t="shared" si="2"/>
        <v>0</v>
      </c>
      <c r="H19" s="545" t="str">
        <f t="shared" si="1"/>
        <v/>
      </c>
      <c r="I19" s="545" t="str">
        <f t="shared" si="1"/>
        <v/>
      </c>
      <c r="J19" s="494"/>
      <c r="K19" s="494"/>
      <c r="L19" s="494"/>
      <c r="M19" s="494"/>
    </row>
    <row r="20" spans="1:13">
      <c r="A20" s="532"/>
      <c r="B20" s="137"/>
      <c r="C20" s="139"/>
      <c r="D20" s="55"/>
      <c r="E20" s="121">
        <f t="shared" si="0"/>
        <v>0</v>
      </c>
      <c r="F20" s="56" t="s">
        <v>124</v>
      </c>
      <c r="G20" s="545">
        <f t="shared" si="2"/>
        <v>0</v>
      </c>
      <c r="H20" s="545" t="str">
        <f t="shared" si="1"/>
        <v/>
      </c>
      <c r="I20" s="545" t="str">
        <f t="shared" si="1"/>
        <v/>
      </c>
      <c r="J20" s="494"/>
      <c r="K20" s="494"/>
      <c r="L20" s="494"/>
      <c r="M20" s="494"/>
    </row>
    <row r="21" spans="1:13">
      <c r="A21" s="532"/>
      <c r="B21" s="137"/>
      <c r="C21" s="139"/>
      <c r="D21" s="55"/>
      <c r="E21" s="121">
        <f t="shared" si="0"/>
        <v>0</v>
      </c>
      <c r="F21" s="56" t="s">
        <v>124</v>
      </c>
      <c r="G21" s="545">
        <f t="shared" si="2"/>
        <v>0</v>
      </c>
      <c r="H21" s="545" t="str">
        <f t="shared" si="1"/>
        <v/>
      </c>
      <c r="I21" s="545" t="str">
        <f t="shared" si="1"/>
        <v/>
      </c>
      <c r="J21" s="494"/>
      <c r="K21" s="494"/>
      <c r="L21" s="494"/>
      <c r="M21" s="494"/>
    </row>
    <row r="22" spans="1:13" ht="18" customHeight="1">
      <c r="A22" s="538"/>
      <c r="B22" s="539"/>
      <c r="C22" s="539"/>
      <c r="D22" s="540"/>
      <c r="E22" s="540"/>
      <c r="F22" s="539"/>
      <c r="G22" s="546"/>
      <c r="H22" s="546"/>
      <c r="I22" s="512"/>
      <c r="J22" s="494"/>
      <c r="K22" s="494"/>
      <c r="L22" s="494"/>
      <c r="M22" s="494"/>
    </row>
    <row r="23" spans="1:13" ht="18" customHeight="1">
      <c r="B23" s="496"/>
      <c r="C23" s="526"/>
      <c r="D23" s="514">
        <f>SUM(D7:D22)</f>
        <v>0</v>
      </c>
      <c r="E23" s="514">
        <f>SUM(E7:E22)</f>
        <v>0</v>
      </c>
      <c r="F23" s="530"/>
      <c r="G23" s="547">
        <f t="shared" ref="G23:I23" si="3">SUM(G7:G22)</f>
        <v>0</v>
      </c>
      <c r="H23" s="547">
        <f t="shared" si="3"/>
        <v>0</v>
      </c>
      <c r="I23" s="547">
        <f t="shared" si="3"/>
        <v>0</v>
      </c>
      <c r="J23" s="494"/>
      <c r="K23" s="494"/>
      <c r="L23" s="494"/>
      <c r="M23" s="494"/>
    </row>
    <row r="24" spans="1:13" ht="18" customHeight="1">
      <c r="B24" s="496"/>
      <c r="C24" s="530"/>
      <c r="D24" s="530"/>
      <c r="E24" s="530"/>
      <c r="F24" s="505" t="s">
        <v>1711</v>
      </c>
      <c r="G24" s="548" t="str">
        <f>Main!D8</f>
        <v>#1.01</v>
      </c>
      <c r="H24" s="549" t="str">
        <f>Main!D9</f>
        <v>#1.02</v>
      </c>
      <c r="I24" s="549" t="str">
        <f>Main!D10</f>
        <v>#1.03</v>
      </c>
      <c r="J24" s="494"/>
      <c r="K24" s="494"/>
      <c r="L24" s="494"/>
      <c r="M24" s="494"/>
    </row>
    <row r="25" spans="1:13" ht="18" customHeight="1">
      <c r="B25" s="496"/>
      <c r="C25" s="496"/>
      <c r="D25" s="530"/>
      <c r="E25" s="530"/>
      <c r="F25" s="505" t="s">
        <v>84</v>
      </c>
      <c r="G25" s="403">
        <f>VLOOKUP(G24,Main!$D$8:$J$10,Main!$J$756,FALSE)</f>
        <v>1006.181121055433</v>
      </c>
      <c r="H25" s="403">
        <f>VLOOKUP(H24,Main!$D$8:$J$10,Main!$J$756,FALSE)</f>
        <v>1895.531121055433</v>
      </c>
      <c r="I25" s="403">
        <f>VLOOKUP(I24,Main!$D$8:$J$10,Main!$J$756,FALSE)</f>
        <v>426.75612105543297</v>
      </c>
      <c r="J25" s="494"/>
      <c r="K25" s="494"/>
      <c r="L25" s="494"/>
      <c r="M25" s="494"/>
    </row>
    <row r="26" spans="1:13" ht="18" customHeight="1">
      <c r="D26" s="497"/>
      <c r="F26" s="505" t="s">
        <v>142</v>
      </c>
      <c r="G26" s="550">
        <f>G25*G23</f>
        <v>0</v>
      </c>
      <c r="H26" s="550">
        <f t="shared" ref="H26:I26" si="4">H25*H23</f>
        <v>0</v>
      </c>
      <c r="I26" s="550">
        <f t="shared" si="4"/>
        <v>0</v>
      </c>
      <c r="J26" s="494"/>
      <c r="K26" s="494"/>
      <c r="L26" s="494"/>
      <c r="M26" s="494"/>
    </row>
    <row r="27" spans="1:13" ht="18" customHeight="1" thickBot="1">
      <c r="B27" s="541"/>
      <c r="C27" s="541" t="s">
        <v>1818</v>
      </c>
      <c r="D27" s="530"/>
      <c r="E27" s="542">
        <f>Assumptions!$E$16</f>
        <v>0.05</v>
      </c>
      <c r="F27" s="530"/>
      <c r="H27" s="497"/>
      <c r="J27" s="494"/>
      <c r="K27" s="494"/>
      <c r="L27" s="494"/>
      <c r="M27" s="494"/>
    </row>
    <row r="28" spans="1:13" ht="36">
      <c r="A28" s="532"/>
      <c r="B28" s="509" t="s">
        <v>439</v>
      </c>
      <c r="C28" s="509" t="s">
        <v>1774</v>
      </c>
      <c r="D28" s="509" t="s">
        <v>1819</v>
      </c>
      <c r="E28" s="543" t="s">
        <v>1820</v>
      </c>
      <c r="F28" s="509" t="s">
        <v>1817</v>
      </c>
      <c r="G28" s="509" t="s">
        <v>124</v>
      </c>
      <c r="H28" s="509" t="s">
        <v>133</v>
      </c>
      <c r="I28" s="509" t="s">
        <v>99</v>
      </c>
      <c r="J28" s="494"/>
      <c r="K28" s="494"/>
      <c r="L28" s="494"/>
      <c r="M28" s="494"/>
    </row>
    <row r="29" spans="1:13" ht="18" customHeight="1">
      <c r="A29" s="532"/>
      <c r="B29" s="533"/>
      <c r="C29" s="533"/>
      <c r="D29" s="533" t="s">
        <v>119</v>
      </c>
      <c r="E29" s="533" t="s">
        <v>119</v>
      </c>
      <c r="F29" s="544" t="s">
        <v>1777</v>
      </c>
      <c r="H29" s="497"/>
      <c r="J29" s="532"/>
      <c r="K29" s="494"/>
      <c r="L29" s="494"/>
      <c r="M29" s="494"/>
    </row>
    <row r="30" spans="1:13">
      <c r="A30" s="532"/>
      <c r="B30" s="137"/>
      <c r="C30" s="139"/>
      <c r="D30" s="55"/>
      <c r="E30" s="121">
        <f>D30*$E$27</f>
        <v>0</v>
      </c>
      <c r="F30" s="56" t="s">
        <v>124</v>
      </c>
      <c r="G30" s="545">
        <f>IF($F30=G$28,$E30,"")</f>
        <v>0</v>
      </c>
      <c r="H30" s="545" t="str">
        <f>IF($F30=H$28,$E30,"")</f>
        <v/>
      </c>
      <c r="I30" s="545" t="str">
        <f>IF($F30=I$28,$E30,"")</f>
        <v/>
      </c>
      <c r="J30" s="494"/>
      <c r="K30" s="494"/>
      <c r="L30" s="494"/>
      <c r="M30" s="494"/>
    </row>
    <row r="31" spans="1:13">
      <c r="A31" s="532"/>
      <c r="B31" s="137"/>
      <c r="C31" s="139"/>
      <c r="D31" s="55"/>
      <c r="E31" s="121">
        <f t="shared" ref="E31:E43" si="5">D31*$E$27</f>
        <v>0</v>
      </c>
      <c r="F31" s="56" t="s">
        <v>133</v>
      </c>
      <c r="G31" s="545" t="str">
        <f t="shared" ref="G31:I43" si="6">IF($F31=G$28,$E31,"")</f>
        <v/>
      </c>
      <c r="H31" s="545">
        <f t="shared" si="6"/>
        <v>0</v>
      </c>
      <c r="I31" s="545" t="str">
        <f t="shared" si="6"/>
        <v/>
      </c>
      <c r="J31" s="494"/>
      <c r="K31" s="494"/>
      <c r="L31" s="494"/>
      <c r="M31" s="494"/>
    </row>
    <row r="32" spans="1:13">
      <c r="A32" s="532"/>
      <c r="B32" s="137"/>
      <c r="C32" s="139"/>
      <c r="D32" s="55"/>
      <c r="E32" s="121">
        <f t="shared" si="5"/>
        <v>0</v>
      </c>
      <c r="F32" s="56" t="s">
        <v>99</v>
      </c>
      <c r="G32" s="545" t="str">
        <f t="shared" si="6"/>
        <v/>
      </c>
      <c r="H32" s="545" t="str">
        <f t="shared" si="6"/>
        <v/>
      </c>
      <c r="I32" s="545">
        <f t="shared" si="6"/>
        <v>0</v>
      </c>
      <c r="J32" s="494"/>
      <c r="K32" s="494"/>
      <c r="L32" s="494"/>
      <c r="M32" s="494"/>
    </row>
    <row r="33" spans="1:13">
      <c r="A33" s="532"/>
      <c r="B33" s="137"/>
      <c r="C33" s="139"/>
      <c r="D33" s="55"/>
      <c r="E33" s="121">
        <f t="shared" si="5"/>
        <v>0</v>
      </c>
      <c r="F33" s="56" t="s">
        <v>124</v>
      </c>
      <c r="G33" s="545">
        <f t="shared" si="6"/>
        <v>0</v>
      </c>
      <c r="H33" s="545" t="str">
        <f t="shared" si="6"/>
        <v/>
      </c>
      <c r="I33" s="545" t="str">
        <f t="shared" si="6"/>
        <v/>
      </c>
      <c r="J33" s="494"/>
      <c r="K33" s="494"/>
      <c r="L33" s="494"/>
      <c r="M33" s="494"/>
    </row>
    <row r="34" spans="1:13" hidden="1">
      <c r="A34" s="532"/>
      <c r="B34" s="137"/>
      <c r="C34" s="139"/>
      <c r="D34" s="55"/>
      <c r="E34" s="121">
        <f t="shared" si="5"/>
        <v>0</v>
      </c>
      <c r="F34" s="56" t="s">
        <v>133</v>
      </c>
      <c r="G34" s="545" t="str">
        <f t="shared" si="6"/>
        <v/>
      </c>
      <c r="H34" s="545">
        <f t="shared" si="6"/>
        <v>0</v>
      </c>
      <c r="I34" s="545" t="str">
        <f t="shared" si="6"/>
        <v/>
      </c>
      <c r="J34" s="494"/>
      <c r="K34" s="494"/>
      <c r="L34" s="494"/>
      <c r="M34" s="494"/>
    </row>
    <row r="35" spans="1:13" hidden="1">
      <c r="A35" s="532"/>
      <c r="B35" s="137"/>
      <c r="C35" s="139"/>
      <c r="D35" s="55"/>
      <c r="E35" s="121">
        <f t="shared" si="5"/>
        <v>0</v>
      </c>
      <c r="F35" s="56" t="s">
        <v>124</v>
      </c>
      <c r="G35" s="545">
        <f t="shared" si="6"/>
        <v>0</v>
      </c>
      <c r="H35" s="545" t="str">
        <f t="shared" si="6"/>
        <v/>
      </c>
      <c r="I35" s="545" t="str">
        <f t="shared" si="6"/>
        <v/>
      </c>
      <c r="J35" s="494"/>
      <c r="K35" s="494"/>
      <c r="L35" s="494"/>
      <c r="M35" s="494"/>
    </row>
    <row r="36" spans="1:13" hidden="1">
      <c r="A36" s="532"/>
      <c r="B36" s="137"/>
      <c r="C36" s="139"/>
      <c r="D36" s="55"/>
      <c r="E36" s="121">
        <f t="shared" si="5"/>
        <v>0</v>
      </c>
      <c r="F36" s="56" t="s">
        <v>124</v>
      </c>
      <c r="G36" s="545">
        <f t="shared" si="6"/>
        <v>0</v>
      </c>
      <c r="H36" s="545" t="str">
        <f t="shared" si="6"/>
        <v/>
      </c>
      <c r="I36" s="545" t="str">
        <f t="shared" si="6"/>
        <v/>
      </c>
      <c r="J36" s="494"/>
      <c r="K36" s="494"/>
      <c r="L36" s="494"/>
      <c r="M36" s="494"/>
    </row>
    <row r="37" spans="1:13" hidden="1">
      <c r="A37" s="532"/>
      <c r="B37" s="137"/>
      <c r="C37" s="139"/>
      <c r="D37" s="55"/>
      <c r="E37" s="121">
        <f t="shared" si="5"/>
        <v>0</v>
      </c>
      <c r="F37" s="56" t="s">
        <v>124</v>
      </c>
      <c r="G37" s="545">
        <f t="shared" si="6"/>
        <v>0</v>
      </c>
      <c r="H37" s="545" t="str">
        <f t="shared" si="6"/>
        <v/>
      </c>
      <c r="I37" s="545" t="str">
        <f t="shared" si="6"/>
        <v/>
      </c>
      <c r="J37" s="494"/>
      <c r="K37" s="494"/>
      <c r="L37" s="494"/>
      <c r="M37" s="494"/>
    </row>
    <row r="38" spans="1:13" hidden="1">
      <c r="A38" s="532"/>
      <c r="B38" s="137"/>
      <c r="C38" s="139"/>
      <c r="D38" s="55"/>
      <c r="E38" s="121">
        <f t="shared" si="5"/>
        <v>0</v>
      </c>
      <c r="F38" s="56" t="s">
        <v>124</v>
      </c>
      <c r="G38" s="545">
        <f t="shared" si="6"/>
        <v>0</v>
      </c>
      <c r="H38" s="545" t="str">
        <f t="shared" si="6"/>
        <v/>
      </c>
      <c r="I38" s="545" t="str">
        <f t="shared" si="6"/>
        <v/>
      </c>
      <c r="J38" s="494"/>
      <c r="K38" s="494"/>
      <c r="L38" s="494"/>
      <c r="M38" s="494"/>
    </row>
    <row r="39" spans="1:13" hidden="1">
      <c r="A39" s="532"/>
      <c r="B39" s="137"/>
      <c r="C39" s="139"/>
      <c r="D39" s="55"/>
      <c r="E39" s="121">
        <f t="shared" si="5"/>
        <v>0</v>
      </c>
      <c r="F39" s="56" t="s">
        <v>124</v>
      </c>
      <c r="G39" s="545">
        <f t="shared" si="6"/>
        <v>0</v>
      </c>
      <c r="H39" s="545" t="str">
        <f t="shared" si="6"/>
        <v/>
      </c>
      <c r="I39" s="545" t="str">
        <f t="shared" si="6"/>
        <v/>
      </c>
      <c r="J39" s="494"/>
      <c r="K39" s="494"/>
      <c r="L39" s="494"/>
      <c r="M39" s="494"/>
    </row>
    <row r="40" spans="1:13" hidden="1">
      <c r="A40" s="532"/>
      <c r="B40" s="137"/>
      <c r="C40" s="139"/>
      <c r="D40" s="55"/>
      <c r="E40" s="121">
        <f t="shared" si="5"/>
        <v>0</v>
      </c>
      <c r="F40" s="56" t="s">
        <v>99</v>
      </c>
      <c r="G40" s="545" t="str">
        <f t="shared" si="6"/>
        <v/>
      </c>
      <c r="H40" s="545" t="str">
        <f t="shared" si="6"/>
        <v/>
      </c>
      <c r="I40" s="545">
        <f t="shared" si="6"/>
        <v>0</v>
      </c>
      <c r="J40" s="494"/>
      <c r="K40" s="494"/>
      <c r="L40" s="494"/>
      <c r="M40" s="494"/>
    </row>
    <row r="41" spans="1:13" hidden="1">
      <c r="A41" s="532"/>
      <c r="B41" s="137"/>
      <c r="C41" s="139"/>
      <c r="D41" s="55"/>
      <c r="E41" s="121">
        <f t="shared" si="5"/>
        <v>0</v>
      </c>
      <c r="F41" s="56" t="s">
        <v>124</v>
      </c>
      <c r="G41" s="545">
        <f t="shared" si="6"/>
        <v>0</v>
      </c>
      <c r="H41" s="545" t="str">
        <f t="shared" si="6"/>
        <v/>
      </c>
      <c r="I41" s="545" t="str">
        <f t="shared" si="6"/>
        <v/>
      </c>
      <c r="J41" s="494"/>
      <c r="K41" s="494"/>
      <c r="L41" s="494"/>
      <c r="M41" s="494"/>
    </row>
    <row r="42" spans="1:13" hidden="1">
      <c r="A42" s="532"/>
      <c r="B42" s="137"/>
      <c r="C42" s="139"/>
      <c r="D42" s="55"/>
      <c r="E42" s="121">
        <f t="shared" si="5"/>
        <v>0</v>
      </c>
      <c r="F42" s="56" t="s">
        <v>124</v>
      </c>
      <c r="G42" s="545">
        <f t="shared" si="6"/>
        <v>0</v>
      </c>
      <c r="H42" s="545" t="str">
        <f t="shared" si="6"/>
        <v/>
      </c>
      <c r="I42" s="545" t="str">
        <f t="shared" si="6"/>
        <v/>
      </c>
      <c r="J42" s="494"/>
      <c r="K42" s="494"/>
      <c r="L42" s="494"/>
      <c r="M42" s="494"/>
    </row>
    <row r="43" spans="1:13" hidden="1">
      <c r="A43" s="532"/>
      <c r="B43" s="137"/>
      <c r="C43" s="139"/>
      <c r="D43" s="55"/>
      <c r="E43" s="121">
        <f t="shared" si="5"/>
        <v>0</v>
      </c>
      <c r="F43" s="56" t="s">
        <v>124</v>
      </c>
      <c r="G43" s="545">
        <f t="shared" si="6"/>
        <v>0</v>
      </c>
      <c r="H43" s="545" t="str">
        <f t="shared" si="6"/>
        <v/>
      </c>
      <c r="I43" s="545" t="str">
        <f t="shared" si="6"/>
        <v/>
      </c>
      <c r="J43" s="494"/>
      <c r="K43" s="494"/>
      <c r="L43" s="494"/>
      <c r="M43" s="494"/>
    </row>
    <row r="44" spans="1:13" ht="18" customHeight="1">
      <c r="A44" s="538"/>
      <c r="B44" s="539"/>
      <c r="C44" s="539"/>
      <c r="D44" s="540"/>
      <c r="E44" s="540"/>
      <c r="F44" s="539"/>
      <c r="G44" s="546"/>
      <c r="H44" s="546"/>
      <c r="I44" s="512"/>
      <c r="J44" s="494"/>
      <c r="K44" s="494"/>
      <c r="L44" s="494"/>
      <c r="M44" s="494"/>
    </row>
    <row r="45" spans="1:13" ht="18" customHeight="1">
      <c r="B45" s="496"/>
      <c r="C45" s="526"/>
      <c r="D45" s="514">
        <f>SUM(D29:D44)</f>
        <v>0</v>
      </c>
      <c r="E45" s="514">
        <f>SUM(E29:E44)</f>
        <v>0</v>
      </c>
      <c r="F45" s="530"/>
      <c r="G45" s="514">
        <f t="shared" ref="G45:I45" si="7">SUM(G29:G44)</f>
        <v>0</v>
      </c>
      <c r="H45" s="514">
        <f t="shared" si="7"/>
        <v>0</v>
      </c>
      <c r="I45" s="514">
        <f t="shared" si="7"/>
        <v>0</v>
      </c>
      <c r="J45" s="494"/>
      <c r="K45" s="494"/>
      <c r="L45" s="494"/>
      <c r="M45" s="494"/>
    </row>
    <row r="46" spans="1:13" ht="18" customHeight="1">
      <c r="B46" s="496"/>
      <c r="C46" s="526"/>
      <c r="D46" s="530"/>
      <c r="E46" s="530"/>
      <c r="F46" s="505" t="str">
        <f>F24</f>
        <v>TOV#</v>
      </c>
      <c r="G46" s="548" t="str">
        <f>Main!D11</f>
        <v>#1.04</v>
      </c>
      <c r="H46" s="549" t="str">
        <f>Main!D12</f>
        <v>#1.05</v>
      </c>
      <c r="I46" s="549" t="str">
        <f>Main!D13</f>
        <v>#1.06</v>
      </c>
      <c r="J46" s="494"/>
      <c r="K46" s="494"/>
      <c r="L46" s="494"/>
      <c r="M46" s="494"/>
    </row>
    <row r="47" spans="1:13" ht="18" customHeight="1">
      <c r="B47" s="496"/>
      <c r="C47" s="526"/>
      <c r="D47" s="526"/>
      <c r="E47" s="526"/>
      <c r="F47" s="505" t="str">
        <f t="shared" ref="F47:F48" si="8">F25</f>
        <v>Rate</v>
      </c>
      <c r="G47" s="403">
        <f>VLOOKUP(G46,Main!$D$11:$J$13,Main!$J$756,FALSE)</f>
        <v>2874.8032030155227</v>
      </c>
      <c r="H47" s="403">
        <f>VLOOKUP(H46,Main!$D$11:$J$13,Main!$J$756,FALSE)</f>
        <v>5415.8032030155227</v>
      </c>
      <c r="I47" s="403">
        <f>VLOOKUP(I46,Main!$D$11:$J$13,Main!$J$756,FALSE)</f>
        <v>1219.3032030155227</v>
      </c>
      <c r="J47" s="526"/>
      <c r="K47" s="494"/>
      <c r="L47" s="494"/>
      <c r="M47" s="494"/>
    </row>
    <row r="48" spans="1:13" ht="18" customHeight="1">
      <c r="B48" s="551"/>
      <c r="C48" s="551"/>
      <c r="D48" s="551"/>
      <c r="E48" s="551"/>
      <c r="F48" s="505" t="str">
        <f t="shared" si="8"/>
        <v>Total</v>
      </c>
      <c r="G48" s="550">
        <f>G45*G47</f>
        <v>0</v>
      </c>
      <c r="H48" s="550">
        <f t="shared" ref="H48:I48" si="9">H45*H47</f>
        <v>0</v>
      </c>
      <c r="I48" s="550">
        <f t="shared" si="9"/>
        <v>0</v>
      </c>
      <c r="J48" s="494"/>
      <c r="K48" s="494"/>
      <c r="L48" s="494"/>
      <c r="M48" s="494"/>
    </row>
    <row r="49" spans="1:16" ht="18" customHeight="1">
      <c r="B49" s="551"/>
      <c r="C49" s="551"/>
      <c r="D49" s="551"/>
      <c r="E49" s="551"/>
      <c r="F49" s="551"/>
      <c r="G49" s="494"/>
      <c r="H49" s="497"/>
      <c r="I49" s="497"/>
      <c r="J49" s="494"/>
      <c r="K49" s="494"/>
      <c r="L49" s="494"/>
      <c r="M49" s="494"/>
    </row>
    <row r="50" spans="1:16" ht="18" customHeight="1" thickBot="1">
      <c r="B50" s="541"/>
      <c r="C50" s="541" t="s">
        <v>1821</v>
      </c>
      <c r="D50" s="530"/>
      <c r="E50" s="530"/>
      <c r="F50" s="530"/>
      <c r="G50" s="552" t="s">
        <v>1822</v>
      </c>
      <c r="H50" s="530"/>
      <c r="I50" s="530"/>
      <c r="J50" s="530"/>
      <c r="M50" s="494"/>
    </row>
    <row r="51" spans="1:16" ht="36">
      <c r="A51" s="532"/>
      <c r="B51" s="509" t="s">
        <v>439</v>
      </c>
      <c r="C51" s="509" t="s">
        <v>1823</v>
      </c>
      <c r="D51" s="509" t="s">
        <v>250</v>
      </c>
      <c r="E51" s="509" t="s">
        <v>1824</v>
      </c>
      <c r="F51" s="509" t="s">
        <v>1825</v>
      </c>
      <c r="G51" s="509" t="s">
        <v>1826</v>
      </c>
      <c r="H51" s="509" t="s">
        <v>1827</v>
      </c>
      <c r="I51" s="509" t="s">
        <v>1828</v>
      </c>
      <c r="J51" s="509" t="s">
        <v>1817</v>
      </c>
      <c r="K51" s="509" t="s">
        <v>1829</v>
      </c>
      <c r="L51" s="509" t="s">
        <v>1830</v>
      </c>
      <c r="M51" s="509" t="s">
        <v>1831</v>
      </c>
      <c r="N51" s="509" t="s">
        <v>1832</v>
      </c>
      <c r="O51" s="509" t="s">
        <v>1833</v>
      </c>
      <c r="P51" s="509" t="s">
        <v>1834</v>
      </c>
    </row>
    <row r="52" spans="1:16" ht="18" customHeight="1">
      <c r="A52" s="532"/>
      <c r="B52" s="533"/>
      <c r="C52" s="533"/>
      <c r="D52" s="533" t="s">
        <v>82</v>
      </c>
      <c r="E52" s="533" t="s">
        <v>79</v>
      </c>
      <c r="F52" s="533" t="s">
        <v>119</v>
      </c>
      <c r="G52" s="533" t="s">
        <v>119</v>
      </c>
      <c r="H52" s="533" t="s">
        <v>119</v>
      </c>
      <c r="I52" s="544" t="s">
        <v>1777</v>
      </c>
      <c r="J52" s="544" t="s">
        <v>1777</v>
      </c>
      <c r="K52" s="533" t="s">
        <v>119</v>
      </c>
      <c r="L52" s="533" t="s">
        <v>119</v>
      </c>
      <c r="M52" s="533" t="s">
        <v>119</v>
      </c>
      <c r="N52" s="533" t="s">
        <v>119</v>
      </c>
      <c r="O52" s="533" t="s">
        <v>119</v>
      </c>
      <c r="P52" s="533" t="s">
        <v>119</v>
      </c>
    </row>
    <row r="53" spans="1:16">
      <c r="A53" s="532"/>
      <c r="B53" s="137"/>
      <c r="C53" s="139"/>
      <c r="D53" s="55"/>
      <c r="E53" s="55"/>
      <c r="F53" s="545">
        <f t="shared" ref="F53:F66" si="10">D53*1000*IF(E53="",Track_width_def,E53)/10000</f>
        <v>0</v>
      </c>
      <c r="G53" s="55"/>
      <c r="H53" s="545">
        <f>IF(G53="",F53,G53)</f>
        <v>0</v>
      </c>
      <c r="I53" s="56" t="s">
        <v>136</v>
      </c>
      <c r="J53" s="56" t="s">
        <v>124</v>
      </c>
      <c r="K53" s="545">
        <f>IF(AND($I53=Lists!$C$46,$J53=Lists!$C$41),$H53,"")</f>
        <v>0</v>
      </c>
      <c r="L53" s="545" t="str">
        <f>IF(AND($I53=Lists!$C$46,$J53=Lists!$C$42),$H53,"")</f>
        <v/>
      </c>
      <c r="M53" s="545" t="str">
        <f>IF(AND($I53=Lists!$C$46,$J53=Lists!$C$43),$H53,"")</f>
        <v/>
      </c>
      <c r="N53" s="545" t="str">
        <f>IF(AND(OR($I53=Lists!$C$47,$I53=Lists!$C$48,$I53=Lists!$C$49),$J53=Lists!$C$41),$H53,"")</f>
        <v/>
      </c>
      <c r="O53" s="545" t="str">
        <f>IF(AND(OR($I53=Lists!$C$47,$I53=Lists!$C$48,$I53=Lists!$C$49),$J53=Lists!$C$42),$H53,"")</f>
        <v/>
      </c>
      <c r="P53" s="545" t="str">
        <f>IF(AND(OR($I53=Lists!$C$47,$I53=Lists!$C$48,$I53=Lists!$C$49),$J53=Lists!$C$43),$H53,"")</f>
        <v/>
      </c>
    </row>
    <row r="54" spans="1:16">
      <c r="A54" s="532"/>
      <c r="B54" s="137"/>
      <c r="C54" s="139"/>
      <c r="D54" s="55"/>
      <c r="E54" s="55"/>
      <c r="F54" s="545">
        <f t="shared" si="10"/>
        <v>0</v>
      </c>
      <c r="G54" s="55"/>
      <c r="H54" s="545">
        <f t="shared" ref="H54:H66" si="11">IF(G54="",F54,G54)</f>
        <v>0</v>
      </c>
      <c r="I54" s="56" t="s">
        <v>152</v>
      </c>
      <c r="J54" s="56" t="s">
        <v>133</v>
      </c>
      <c r="K54" s="545" t="str">
        <f>IF(AND($I54=Lists!$C$46,$J54=Lists!$C$41),$H54,"")</f>
        <v/>
      </c>
      <c r="L54" s="545" t="str">
        <f>IF(AND($I54=Lists!$C$46,$J54=Lists!$C$42),$H54,"")</f>
        <v/>
      </c>
      <c r="M54" s="545" t="str">
        <f>IF(AND($I54=Lists!$C$46,$J54=Lists!$C$43),$H54,"")</f>
        <v/>
      </c>
      <c r="N54" s="545" t="str">
        <f>IF(AND(OR($I54=Lists!$C$47,$I54=Lists!$C$48,$I54=Lists!$C$49),$J54=Lists!$C$41),$H54,"")</f>
        <v/>
      </c>
      <c r="O54" s="545">
        <f>IF(AND(OR($I54=Lists!$C$47,$I54=Lists!$C$48,$I54=Lists!$C$49),$J54=Lists!$C$42),$H54,"")</f>
        <v>0</v>
      </c>
      <c r="P54" s="545" t="str">
        <f>IF(AND(OR($I54=Lists!$C$47,$I54=Lists!$C$48,$I54=Lists!$C$49),$J54=Lists!$C$43),$H54,"")</f>
        <v/>
      </c>
    </row>
    <row r="55" spans="1:16">
      <c r="A55" s="532"/>
      <c r="B55" s="137"/>
      <c r="C55" s="139"/>
      <c r="D55" s="55"/>
      <c r="E55" s="55"/>
      <c r="F55" s="545">
        <f t="shared" si="10"/>
        <v>0</v>
      </c>
      <c r="G55" s="55"/>
      <c r="H55" s="545">
        <f t="shared" si="11"/>
        <v>0</v>
      </c>
      <c r="I55" s="56" t="s">
        <v>98</v>
      </c>
      <c r="J55" s="56" t="s">
        <v>99</v>
      </c>
      <c r="K55" s="545" t="str">
        <f>IF(AND($I55=Lists!$C$46,$J55=Lists!$C$41),$H55,"")</f>
        <v/>
      </c>
      <c r="L55" s="545" t="str">
        <f>IF(AND($I55=Lists!$C$46,$J55=Lists!$C$42),$H55,"")</f>
        <v/>
      </c>
      <c r="M55" s="545" t="str">
        <f>IF(AND($I55=Lists!$C$46,$J55=Lists!$C$43),$H55,"")</f>
        <v/>
      </c>
      <c r="N55" s="545" t="str">
        <f>IF(AND(OR($I55=Lists!$C$47,$I55=Lists!$C$48,$I55=Lists!$C$49),$J55=Lists!$C$41),$H55,"")</f>
        <v/>
      </c>
      <c r="O55" s="545" t="str">
        <f>IF(AND(OR($I55=Lists!$C$47,$I55=Lists!$C$48,$I55=Lists!$C$49),$J55=Lists!$C$42),$H55,"")</f>
        <v/>
      </c>
      <c r="P55" s="545">
        <f>IF(AND(OR($I55=Lists!$C$47,$I55=Lists!$C$48,$I55=Lists!$C$49),$J55=Lists!$C$43),$H55,"")</f>
        <v>0</v>
      </c>
    </row>
    <row r="56" spans="1:16">
      <c r="A56" s="532"/>
      <c r="B56" s="137"/>
      <c r="C56" s="139"/>
      <c r="D56" s="55"/>
      <c r="E56" s="55"/>
      <c r="F56" s="545">
        <f t="shared" si="10"/>
        <v>0</v>
      </c>
      <c r="G56" s="55"/>
      <c r="H56" s="545">
        <f t="shared" si="11"/>
        <v>0</v>
      </c>
      <c r="I56" s="56" t="s">
        <v>1835</v>
      </c>
      <c r="J56" s="56" t="s">
        <v>124</v>
      </c>
      <c r="K56" s="545" t="str">
        <f>IF(AND($I56=Lists!$C$46,$J56=Lists!$C$41),$H56,"")</f>
        <v/>
      </c>
      <c r="L56" s="545" t="str">
        <f>IF(AND($I56=Lists!$C$46,$J56=Lists!$C$42),$H56,"")</f>
        <v/>
      </c>
      <c r="M56" s="545" t="str">
        <f>IF(AND($I56=Lists!$C$46,$J56=Lists!$C$43),$H56,"")</f>
        <v/>
      </c>
      <c r="N56" s="545">
        <f>IF(AND(OR($I56=Lists!$C$47,$I56=Lists!$C$48,$I56=Lists!$C$49),$J56=Lists!$C$41),$H56,"")</f>
        <v>0</v>
      </c>
      <c r="O56" s="545" t="str">
        <f>IF(AND(OR($I56=Lists!$C$47,$I56=Lists!$C$48,$I56=Lists!$C$49),$J56=Lists!$C$42),$H56,"")</f>
        <v/>
      </c>
      <c r="P56" s="545" t="str">
        <f>IF(AND(OR($I56=Lists!$C$47,$I56=Lists!$C$48,$I56=Lists!$C$49),$J56=Lists!$C$43),$H56,"")</f>
        <v/>
      </c>
    </row>
    <row r="57" spans="1:16">
      <c r="A57" s="532"/>
      <c r="B57" s="137"/>
      <c r="C57" s="139"/>
      <c r="D57" s="55"/>
      <c r="E57" s="55"/>
      <c r="F57" s="545">
        <f t="shared" si="10"/>
        <v>0</v>
      </c>
      <c r="G57" s="55"/>
      <c r="H57" s="545">
        <f t="shared" si="11"/>
        <v>0</v>
      </c>
      <c r="I57" s="56" t="s">
        <v>136</v>
      </c>
      <c r="J57" s="56" t="s">
        <v>133</v>
      </c>
      <c r="K57" s="545" t="str">
        <f>IF(AND($I57=Lists!$C$46,$J57=Lists!$C$41),$H57,"")</f>
        <v/>
      </c>
      <c r="L57" s="545">
        <f>IF(AND($I57=Lists!$C$46,$J57=Lists!$C$42),$H57,"")</f>
        <v>0</v>
      </c>
      <c r="M57" s="545" t="str">
        <f>IF(AND($I57=Lists!$C$46,$J57=Lists!$C$43),$H57,"")</f>
        <v/>
      </c>
      <c r="N57" s="545" t="str">
        <f>IF(AND(OR($I57=Lists!$C$47,$I57=Lists!$C$48,$I57=Lists!$C$49),$J57=Lists!$C$41),$H57,"")</f>
        <v/>
      </c>
      <c r="O57" s="545" t="str">
        <f>IF(AND(OR($I57=Lists!$C$47,$I57=Lists!$C$48,$I57=Lists!$C$49),$J57=Lists!$C$42),$H57,"")</f>
        <v/>
      </c>
      <c r="P57" s="545" t="str">
        <f>IF(AND(OR($I57=Lists!$C$47,$I57=Lists!$C$48,$I57=Lists!$C$49),$J57=Lists!$C$43),$H57,"")</f>
        <v/>
      </c>
    </row>
    <row r="58" spans="1:16">
      <c r="A58" s="532"/>
      <c r="B58" s="137"/>
      <c r="C58" s="139"/>
      <c r="D58" s="55"/>
      <c r="E58" s="55"/>
      <c r="F58" s="545">
        <f t="shared" si="10"/>
        <v>0</v>
      </c>
      <c r="G58" s="55"/>
      <c r="H58" s="545">
        <f t="shared" si="11"/>
        <v>0</v>
      </c>
      <c r="I58" s="56" t="s">
        <v>152</v>
      </c>
      <c r="J58" s="56" t="s">
        <v>133</v>
      </c>
      <c r="K58" s="545" t="str">
        <f>IF(AND($I58=Lists!$C$46,$J58=Lists!$C$41),$H58,"")</f>
        <v/>
      </c>
      <c r="L58" s="545" t="str">
        <f>IF(AND($I58=Lists!$C$46,$J58=Lists!$C$42),$H58,"")</f>
        <v/>
      </c>
      <c r="M58" s="545" t="str">
        <f>IF(AND($I58=Lists!$C$46,$J58=Lists!$C$43),$H58,"")</f>
        <v/>
      </c>
      <c r="N58" s="545" t="str">
        <f>IF(AND(OR($I58=Lists!$C$47,$I58=Lists!$C$48,$I58=Lists!$C$49),$J58=Lists!$C$41),$H58,"")</f>
        <v/>
      </c>
      <c r="O58" s="545">
        <f>IF(AND(OR($I58=Lists!$C$47,$I58=Lists!$C$48,$I58=Lists!$C$49),$J58=Lists!$C$42),$H58,"")</f>
        <v>0</v>
      </c>
      <c r="P58" s="545" t="str">
        <f>IF(AND(OR($I58=Lists!$C$47,$I58=Lists!$C$48,$I58=Lists!$C$49),$J58=Lists!$C$43),$H58,"")</f>
        <v/>
      </c>
    </row>
    <row r="59" spans="1:16">
      <c r="A59" s="532"/>
      <c r="B59" s="137"/>
      <c r="C59" s="139"/>
      <c r="D59" s="55"/>
      <c r="E59" s="55"/>
      <c r="F59" s="545">
        <f t="shared" si="10"/>
        <v>0</v>
      </c>
      <c r="G59" s="55"/>
      <c r="H59" s="545">
        <f t="shared" si="11"/>
        <v>0</v>
      </c>
      <c r="I59" s="56" t="s">
        <v>98</v>
      </c>
      <c r="J59" s="56" t="s">
        <v>133</v>
      </c>
      <c r="K59" s="545" t="str">
        <f>IF(AND($I59=Lists!$C$46,$J59=Lists!$C$41),$H59,"")</f>
        <v/>
      </c>
      <c r="L59" s="545" t="str">
        <f>IF(AND($I59=Lists!$C$46,$J59=Lists!$C$42),$H59,"")</f>
        <v/>
      </c>
      <c r="M59" s="545" t="str">
        <f>IF(AND($I59=Lists!$C$46,$J59=Lists!$C$43),$H59,"")</f>
        <v/>
      </c>
      <c r="N59" s="545" t="str">
        <f>IF(AND(OR($I59=Lists!$C$47,$I59=Lists!$C$48,$I59=Lists!$C$49),$J59=Lists!$C$41),$H59,"")</f>
        <v/>
      </c>
      <c r="O59" s="545">
        <f>IF(AND(OR($I59=Lists!$C$47,$I59=Lists!$C$48,$I59=Lists!$C$49),$J59=Lists!$C$42),$H59,"")</f>
        <v>0</v>
      </c>
      <c r="P59" s="545" t="str">
        <f>IF(AND(OR($I59=Lists!$C$47,$I59=Lists!$C$48,$I59=Lists!$C$49),$J59=Lists!$C$43),$H59,"")</f>
        <v/>
      </c>
    </row>
    <row r="60" spans="1:16">
      <c r="A60" s="532"/>
      <c r="B60" s="137"/>
      <c r="C60" s="139"/>
      <c r="D60" s="55"/>
      <c r="E60" s="55"/>
      <c r="F60" s="545">
        <f t="shared" si="10"/>
        <v>0</v>
      </c>
      <c r="G60" s="55"/>
      <c r="H60" s="545">
        <f t="shared" si="11"/>
        <v>0</v>
      </c>
      <c r="I60" s="56" t="s">
        <v>1835</v>
      </c>
      <c r="J60" s="56" t="s">
        <v>133</v>
      </c>
      <c r="K60" s="545" t="str">
        <f>IF(AND($I60=Lists!$C$46,$J60=Lists!$C$41),$H60,"")</f>
        <v/>
      </c>
      <c r="L60" s="545" t="str">
        <f>IF(AND($I60=Lists!$C$46,$J60=Lists!$C$42),$H60,"")</f>
        <v/>
      </c>
      <c r="M60" s="545" t="str">
        <f>IF(AND($I60=Lists!$C$46,$J60=Lists!$C$43),$H60,"")</f>
        <v/>
      </c>
      <c r="N60" s="545" t="str">
        <f>IF(AND(OR($I60=Lists!$C$47,$I60=Lists!$C$48,$I60=Lists!$C$49),$J60=Lists!$C$41),$H60,"")</f>
        <v/>
      </c>
      <c r="O60" s="545">
        <f>IF(AND(OR($I60=Lists!$C$47,$I60=Lists!$C$48,$I60=Lists!$C$49),$J60=Lists!$C$42),$H60,"")</f>
        <v>0</v>
      </c>
      <c r="P60" s="545" t="str">
        <f>IF(AND(OR($I60=Lists!$C$47,$I60=Lists!$C$48,$I60=Lists!$C$49),$J60=Lists!$C$43),$H60,"")</f>
        <v/>
      </c>
    </row>
    <row r="61" spans="1:16">
      <c r="A61" s="532"/>
      <c r="B61" s="137"/>
      <c r="C61" s="139"/>
      <c r="D61" s="55"/>
      <c r="E61" s="55"/>
      <c r="F61" s="545">
        <f t="shared" si="10"/>
        <v>0</v>
      </c>
      <c r="G61" s="55"/>
      <c r="H61" s="545">
        <f t="shared" si="11"/>
        <v>0</v>
      </c>
      <c r="I61" s="56" t="s">
        <v>136</v>
      </c>
      <c r="J61" s="56" t="s">
        <v>99</v>
      </c>
      <c r="K61" s="545" t="str">
        <f>IF(AND($I61=Lists!$C$46,$J61=Lists!$C$41),$H61,"")</f>
        <v/>
      </c>
      <c r="L61" s="545" t="str">
        <f>IF(AND($I61=Lists!$C$46,$J61=Lists!$C$42),$H61,"")</f>
        <v/>
      </c>
      <c r="M61" s="545">
        <f>IF(AND($I61=Lists!$C$46,$J61=Lists!$C$43),$H61,"")</f>
        <v>0</v>
      </c>
      <c r="N61" s="545" t="str">
        <f>IF(AND(OR($I61=Lists!$C$47,$I61=Lists!$C$48,$I61=Lists!$C$49),$J61=Lists!$C$41),$H61,"")</f>
        <v/>
      </c>
      <c r="O61" s="545" t="str">
        <f>IF(AND(OR($I61=Lists!$C$47,$I61=Lists!$C$48,$I61=Lists!$C$49),$J61=Lists!$C$42),$H61,"")</f>
        <v/>
      </c>
      <c r="P61" s="545" t="str">
        <f>IF(AND(OR($I61=Lists!$C$47,$I61=Lists!$C$48,$I61=Lists!$C$49),$J61=Lists!$C$43),$H61,"")</f>
        <v/>
      </c>
    </row>
    <row r="62" spans="1:16">
      <c r="A62" s="532"/>
      <c r="B62" s="137"/>
      <c r="C62" s="139"/>
      <c r="D62" s="55"/>
      <c r="E62" s="55"/>
      <c r="F62" s="545">
        <f t="shared" si="10"/>
        <v>0</v>
      </c>
      <c r="G62" s="55"/>
      <c r="H62" s="545">
        <f t="shared" si="11"/>
        <v>0</v>
      </c>
      <c r="I62" s="56" t="s">
        <v>152</v>
      </c>
      <c r="J62" s="56" t="s">
        <v>99</v>
      </c>
      <c r="K62" s="545" t="str">
        <f>IF(AND($I62=Lists!$C$46,$J62=Lists!$C$41),$H62,"")</f>
        <v/>
      </c>
      <c r="L62" s="545" t="str">
        <f>IF(AND($I62=Lists!$C$46,$J62=Lists!$C$42),$H62,"")</f>
        <v/>
      </c>
      <c r="M62" s="545" t="str">
        <f>IF(AND($I62=Lists!$C$46,$J62=Lists!$C$43),$H62,"")</f>
        <v/>
      </c>
      <c r="N62" s="545" t="str">
        <f>IF(AND(OR($I62=Lists!$C$47,$I62=Lists!$C$48,$I62=Lists!$C$49),$J62=Lists!$C$41),$H62,"")</f>
        <v/>
      </c>
      <c r="O62" s="545" t="str">
        <f>IF(AND(OR($I62=Lists!$C$47,$I62=Lists!$C$48,$I62=Lists!$C$49),$J62=Lists!$C$42),$H62,"")</f>
        <v/>
      </c>
      <c r="P62" s="545">
        <f>IF(AND(OR($I62=Lists!$C$47,$I62=Lists!$C$48,$I62=Lists!$C$49),$J62=Lists!$C$43),$H62,"")</f>
        <v>0</v>
      </c>
    </row>
    <row r="63" spans="1:16">
      <c r="A63" s="532"/>
      <c r="B63" s="137"/>
      <c r="C63" s="139"/>
      <c r="D63" s="55"/>
      <c r="E63" s="55"/>
      <c r="F63" s="545">
        <f t="shared" si="10"/>
        <v>0</v>
      </c>
      <c r="G63" s="55"/>
      <c r="H63" s="545">
        <f t="shared" si="11"/>
        <v>0</v>
      </c>
      <c r="I63" s="56" t="s">
        <v>98</v>
      </c>
      <c r="J63" s="56" t="s">
        <v>99</v>
      </c>
      <c r="K63" s="545" t="str">
        <f>IF(AND($I63=Lists!$C$46,$J63=Lists!$C$41),$H63,"")</f>
        <v/>
      </c>
      <c r="L63" s="545" t="str">
        <f>IF(AND($I63=Lists!$C$46,$J63=Lists!$C$42),$H63,"")</f>
        <v/>
      </c>
      <c r="M63" s="545" t="str">
        <f>IF(AND($I63=Lists!$C$46,$J63=Lists!$C$43),$H63,"")</f>
        <v/>
      </c>
      <c r="N63" s="545" t="str">
        <f>IF(AND(OR($I63=Lists!$C$47,$I63=Lists!$C$48,$I63=Lists!$C$49),$J63=Lists!$C$41),$H63,"")</f>
        <v/>
      </c>
      <c r="O63" s="545" t="str">
        <f>IF(AND(OR($I63=Lists!$C$47,$I63=Lists!$C$48,$I63=Lists!$C$49),$J63=Lists!$C$42),$H63,"")</f>
        <v/>
      </c>
      <c r="P63" s="545">
        <f>IF(AND(OR($I63=Lists!$C$47,$I63=Lists!$C$48,$I63=Lists!$C$49),$J63=Lists!$C$43),$H63,"")</f>
        <v>0</v>
      </c>
    </row>
    <row r="64" spans="1:16">
      <c r="A64" s="532"/>
      <c r="B64" s="137"/>
      <c r="C64" s="139"/>
      <c r="D64" s="55"/>
      <c r="E64" s="55"/>
      <c r="F64" s="545">
        <f t="shared" si="10"/>
        <v>0</v>
      </c>
      <c r="G64" s="55"/>
      <c r="H64" s="545">
        <f t="shared" si="11"/>
        <v>0</v>
      </c>
      <c r="I64" s="56" t="s">
        <v>1835</v>
      </c>
      <c r="J64" s="56" t="s">
        <v>99</v>
      </c>
      <c r="K64" s="545" t="str">
        <f>IF(AND($I64=Lists!$C$46,$J64=Lists!$C$41),$H64,"")</f>
        <v/>
      </c>
      <c r="L64" s="545" t="str">
        <f>IF(AND($I64=Lists!$C$46,$J64=Lists!$C$42),$H64,"")</f>
        <v/>
      </c>
      <c r="M64" s="545" t="str">
        <f>IF(AND($I64=Lists!$C$46,$J64=Lists!$C$43),$H64,"")</f>
        <v/>
      </c>
      <c r="N64" s="545" t="str">
        <f>IF(AND(OR($I64=Lists!$C$47,$I64=Lists!$C$48,$I64=Lists!$C$49),$J64=Lists!$C$41),$H64,"")</f>
        <v/>
      </c>
      <c r="O64" s="545" t="str">
        <f>IF(AND(OR($I64=Lists!$C$47,$I64=Lists!$C$48,$I64=Lists!$C$49),$J64=Lists!$C$42),$H64,"")</f>
        <v/>
      </c>
      <c r="P64" s="545">
        <f>IF(AND(OR($I64=Lists!$C$47,$I64=Lists!$C$48,$I64=Lists!$C$49),$J64=Lists!$C$43),$H64,"")</f>
        <v>0</v>
      </c>
    </row>
    <row r="65" spans="1:44">
      <c r="A65" s="532"/>
      <c r="B65" s="137"/>
      <c r="C65" s="139"/>
      <c r="D65" s="55"/>
      <c r="E65" s="55"/>
      <c r="F65" s="545">
        <f t="shared" si="10"/>
        <v>0</v>
      </c>
      <c r="G65" s="55"/>
      <c r="H65" s="545">
        <f t="shared" si="11"/>
        <v>0</v>
      </c>
      <c r="I65" s="56" t="s">
        <v>136</v>
      </c>
      <c r="J65" s="56" t="s">
        <v>124</v>
      </c>
      <c r="K65" s="545">
        <f>IF(AND($I65=Lists!$C$46,$J65=Lists!$C$41),$H65,"")</f>
        <v>0</v>
      </c>
      <c r="L65" s="545" t="str">
        <f>IF(AND($I65=Lists!$C$46,$J65=Lists!$C$42),$H65,"")</f>
        <v/>
      </c>
      <c r="M65" s="545" t="str">
        <f>IF(AND($I65=Lists!$C$46,$J65=Lists!$C$43),$H65,"")</f>
        <v/>
      </c>
      <c r="N65" s="545" t="str">
        <f>IF(AND(OR($I65=Lists!$C$47,$I65=Lists!$C$48,$I65=Lists!$C$49),$J65=Lists!$C$41),$H65,"")</f>
        <v/>
      </c>
      <c r="O65" s="545" t="str">
        <f>IF(AND(OR($I65=Lists!$C$47,$I65=Lists!$C$48,$I65=Lists!$C$49),$J65=Lists!$C$42),$H65,"")</f>
        <v/>
      </c>
      <c r="P65" s="545" t="str">
        <f>IF(AND(OR($I65=Lists!$C$47,$I65=Lists!$C$48,$I65=Lists!$C$49),$J65=Lists!$C$43),$H65,"")</f>
        <v/>
      </c>
    </row>
    <row r="66" spans="1:44">
      <c r="A66" s="532"/>
      <c r="B66" s="137"/>
      <c r="C66" s="139"/>
      <c r="D66" s="55"/>
      <c r="E66" s="55"/>
      <c r="F66" s="545">
        <f t="shared" si="10"/>
        <v>0</v>
      </c>
      <c r="G66" s="55"/>
      <c r="H66" s="545">
        <f t="shared" si="11"/>
        <v>0</v>
      </c>
      <c r="I66" s="56" t="s">
        <v>136</v>
      </c>
      <c r="J66" s="56" t="s">
        <v>124</v>
      </c>
      <c r="K66" s="545">
        <f>IF(AND($I66=Lists!$C$46,$J66=Lists!$C$41),$H66,"")</f>
        <v>0</v>
      </c>
      <c r="L66" s="545" t="str">
        <f>IF(AND($I66=Lists!$C$46,$J66=Lists!$C$42),$H66,"")</f>
        <v/>
      </c>
      <c r="M66" s="545" t="str">
        <f>IF(AND($I66=Lists!$C$46,$J66=Lists!$C$43),$H66,"")</f>
        <v/>
      </c>
      <c r="N66" s="545" t="str">
        <f>IF(AND(OR($I66=Lists!$C$47,$I66=Lists!$C$48,$I66=Lists!$C$49),$J66=Lists!$C$41),$H66,"")</f>
        <v/>
      </c>
      <c r="O66" s="545" t="str">
        <f>IF(AND(OR($I66=Lists!$C$47,$I66=Lists!$C$48,$I66=Lists!$C$49),$J66=Lists!$C$42),$H66,"")</f>
        <v/>
      </c>
      <c r="P66" s="545" t="str">
        <f>IF(AND(OR($I66=Lists!$C$47,$I66=Lists!$C$48,$I66=Lists!$C$49),$J66=Lists!$C$43),$H66,"")</f>
        <v/>
      </c>
    </row>
    <row r="67" spans="1:44" ht="18" customHeight="1">
      <c r="A67" s="538"/>
      <c r="B67" s="539"/>
      <c r="C67" s="539"/>
      <c r="D67" s="540"/>
      <c r="E67" s="536"/>
      <c r="F67" s="540"/>
      <c r="G67" s="540"/>
      <c r="H67" s="540"/>
      <c r="I67" s="539"/>
      <c r="J67" s="539"/>
      <c r="K67" s="546"/>
      <c r="L67" s="546"/>
      <c r="M67" s="512"/>
      <c r="N67" s="512"/>
      <c r="O67" s="512"/>
      <c r="P67" s="512"/>
    </row>
    <row r="68" spans="1:44" ht="18" customHeight="1">
      <c r="B68" s="496"/>
      <c r="C68" s="526"/>
      <c r="D68" s="514">
        <f>SUM(D52:D67)</f>
        <v>0</v>
      </c>
      <c r="E68" s="536"/>
      <c r="F68" s="514">
        <f t="shared" ref="F68:H68" si="12">SUM(F52:F67)</f>
        <v>0</v>
      </c>
      <c r="G68" s="514">
        <f t="shared" si="12"/>
        <v>0</v>
      </c>
      <c r="H68" s="514">
        <f t="shared" si="12"/>
        <v>0</v>
      </c>
      <c r="I68" s="530"/>
      <c r="J68" s="530"/>
      <c r="K68" s="514">
        <f t="shared" ref="K68:P68" si="13">SUM(K52:K67)</f>
        <v>0</v>
      </c>
      <c r="L68" s="514">
        <f t="shared" si="13"/>
        <v>0</v>
      </c>
      <c r="M68" s="514">
        <f t="shared" si="13"/>
        <v>0</v>
      </c>
      <c r="N68" s="514">
        <f t="shared" si="13"/>
        <v>0</v>
      </c>
      <c r="O68" s="514">
        <f t="shared" si="13"/>
        <v>0</v>
      </c>
      <c r="P68" s="514">
        <f t="shared" si="13"/>
        <v>0</v>
      </c>
    </row>
    <row r="69" spans="1:44" ht="18" customHeight="1">
      <c r="B69" s="496"/>
      <c r="C69" s="526"/>
      <c r="D69" s="530"/>
      <c r="E69" s="530"/>
      <c r="F69" s="530"/>
      <c r="G69" s="530"/>
      <c r="H69" s="530"/>
      <c r="I69" s="530"/>
      <c r="J69" s="505" t="str">
        <f>F46</f>
        <v>TOV#</v>
      </c>
      <c r="K69" s="553" t="str">
        <f>Main!$D58</f>
        <v>#2.07</v>
      </c>
      <c r="L69" s="553" t="str">
        <f>Main!$D59</f>
        <v>#2.08</v>
      </c>
      <c r="M69" s="553" t="str">
        <f>Main!$D60</f>
        <v>#2.09</v>
      </c>
      <c r="N69" s="553" t="str">
        <f>Main!$D73</f>
        <v>#2.22</v>
      </c>
      <c r="O69" s="553" t="str">
        <f>Main!$D74</f>
        <v>#2.23</v>
      </c>
      <c r="P69" s="553" t="str">
        <f>Main!$D75</f>
        <v>#2.24</v>
      </c>
    </row>
    <row r="70" spans="1:44" ht="18" customHeight="1">
      <c r="B70" s="496"/>
      <c r="C70" s="526"/>
      <c r="D70" s="530"/>
      <c r="E70" s="530"/>
      <c r="F70" s="530"/>
      <c r="G70" s="530"/>
      <c r="H70" s="530"/>
      <c r="I70" s="530"/>
      <c r="J70" s="505" t="str">
        <f t="shared" ref="J70:J71" si="14">F47</f>
        <v>Rate</v>
      </c>
      <c r="K70" s="403">
        <f>VLOOKUP(K69,Main!$D$58:$K$75,Main!$J$756,FALSE)</f>
        <v>2055.6594574217693</v>
      </c>
      <c r="L70" s="403">
        <f>VLOOKUP(L69,Main!$D$58:$K$75,Main!$J$756,FALSE)</f>
        <v>4596.6594574217697</v>
      </c>
      <c r="M70" s="403">
        <f>VLOOKUP(M69,Main!$D$58:$K$75,Main!$J$756,FALSE)</f>
        <v>400.15945742176939</v>
      </c>
      <c r="N70" s="403">
        <f>VLOOKUP(N69,Main!$D$58:$K$75,Main!$J$756,FALSE)</f>
        <v>8224.8793574449828</v>
      </c>
      <c r="O70" s="403">
        <f>VLOOKUP(O69,Main!$D$58:$K$75,Main!$J$756,FALSE)</f>
        <v>10765.879357444983</v>
      </c>
      <c r="P70" s="403">
        <f>VLOOKUP(P69,Main!$D$58:$K$75,Main!$J$756,FALSE)</f>
        <v>6569.3793574449819</v>
      </c>
    </row>
    <row r="71" spans="1:44" ht="18" customHeight="1">
      <c r="B71" s="496"/>
      <c r="C71" s="496"/>
      <c r="D71" s="530"/>
      <c r="E71" s="530"/>
      <c r="F71" s="530"/>
      <c r="G71" s="530"/>
      <c r="H71" s="530"/>
      <c r="I71" s="530"/>
      <c r="J71" s="505" t="str">
        <f t="shared" si="14"/>
        <v>Total</v>
      </c>
      <c r="K71" s="554">
        <f>K68*K70</f>
        <v>0</v>
      </c>
      <c r="L71" s="554">
        <f t="shared" ref="L71:P71" si="15">L68*L70</f>
        <v>0</v>
      </c>
      <c r="M71" s="554">
        <f t="shared" si="15"/>
        <v>0</v>
      </c>
      <c r="N71" s="554">
        <f t="shared" si="15"/>
        <v>0</v>
      </c>
      <c r="O71" s="554">
        <f t="shared" si="15"/>
        <v>0</v>
      </c>
      <c r="P71" s="554">
        <f t="shared" si="15"/>
        <v>0</v>
      </c>
    </row>
    <row r="72" spans="1:44" ht="18" customHeight="1">
      <c r="D72" s="497"/>
      <c r="H72" s="497"/>
      <c r="I72" s="497"/>
      <c r="K72" s="494"/>
      <c r="L72" s="494"/>
      <c r="M72" s="494"/>
    </row>
    <row r="73" spans="1:44" ht="18" customHeight="1" thickBot="1">
      <c r="B73" s="541"/>
      <c r="C73" s="541" t="s">
        <v>1836</v>
      </c>
      <c r="D73" s="530"/>
      <c r="E73" s="530"/>
      <c r="F73" s="530"/>
      <c r="G73" s="552"/>
      <c r="I73" s="552" t="s">
        <v>1822</v>
      </c>
      <c r="J73" s="494"/>
      <c r="K73" s="494"/>
      <c r="L73" s="494"/>
      <c r="M73" s="494"/>
    </row>
    <row r="74" spans="1:44" ht="44.1" customHeight="1">
      <c r="A74" s="532"/>
      <c r="B74" s="509" t="s">
        <v>439</v>
      </c>
      <c r="C74" s="555" t="s">
        <v>1837</v>
      </c>
      <c r="D74" s="556" t="s">
        <v>1838</v>
      </c>
      <c r="E74" s="557"/>
      <c r="F74" s="558"/>
      <c r="G74" s="509" t="s">
        <v>149</v>
      </c>
      <c r="H74" s="509" t="s">
        <v>124</v>
      </c>
      <c r="I74" s="509" t="s">
        <v>133</v>
      </c>
      <c r="J74" s="509" t="s">
        <v>99</v>
      </c>
      <c r="L74" s="559" t="str" cm="1">
        <f t="array" ref="L74:AO74">TRANSPOSE(Assumptions!C220:C249)</f>
        <v>Temporary camp - &lt;= 20 persons</v>
      </c>
      <c r="M74" s="559" t="str">
        <v>Temporary camp - &gt; 20 and &lt;= 50 persons</v>
      </c>
      <c r="N74" s="559" t="str">
        <v>Temporary camp - &gt; 50 and &lt;= 100 persons</v>
      </c>
      <c r="O74" s="559" t="str">
        <v>Temporary camp - &gt; 100 and &lt;= 150 persons</v>
      </c>
      <c r="P74" s="559" t="str">
        <v>Temporary camp - &gt; 150 and &lt;= 200 persons</v>
      </c>
      <c r="Q74" s="559" t="str">
        <v>Temporary camp - &gt; 200 and &lt;= 250 persons</v>
      </c>
      <c r="R74" s="559" t="str">
        <v>Temporary camp - &gt; 250 and &lt;= 300 persons</v>
      </c>
      <c r="S74" s="559" t="str">
        <v>Temporary camp - &gt; 300 and &lt;= 400 persons</v>
      </c>
      <c r="T74" s="559" t="str">
        <v>Temporary camp - &gt; 400 and &lt;= 500 persons</v>
      </c>
      <c r="U74" s="559" t="str">
        <v>Temporary camp - &gt; 500 and &lt;= 750 persons</v>
      </c>
      <c r="V74" s="559" t="str">
        <v>Temporary camp - &gt; 750 and &lt;= 1000 persons</v>
      </c>
      <c r="W74" s="559" t="str">
        <v>Temporary camp - &gt; 1000 and &lt;= 2000 persons</v>
      </c>
      <c r="X74" s="559" t="str">
        <v>Temporary camp - &gt; 2000 and &lt;= 3000 persons</v>
      </c>
      <c r="Y74" s="559" t="str">
        <v>Temporary camp - &gt; 3000 and &lt;= 4000 persons</v>
      </c>
      <c r="Z74" s="559" t="str">
        <v>Temporary camp - &gt; 4000 and &lt;= 5000 persons</v>
      </c>
      <c r="AA74" s="559" t="str">
        <v>Permanent camp - &gt; 0 and &lt;= 20 persons</v>
      </c>
      <c r="AB74" s="559" t="str">
        <v>Permanent camp - &gt; 20 and &lt;= 50 persons</v>
      </c>
      <c r="AC74" s="559" t="str">
        <v>Permanent camp - &gt; 50 and &lt;= 100 persons</v>
      </c>
      <c r="AD74" s="559" t="str">
        <v>Permanent camp - &gt; 100 and &lt;= 150 persons</v>
      </c>
      <c r="AE74" s="559" t="str">
        <v>Permanent camp - &gt; 150 and &lt;= 200 persons</v>
      </c>
      <c r="AF74" s="559" t="str">
        <v>Permanent camp - &gt; 200 and &lt;= 250 persons</v>
      </c>
      <c r="AG74" s="559" t="str">
        <v>Permanent camp - &gt; 250 and &lt;= 300 persons</v>
      </c>
      <c r="AH74" s="559" t="str">
        <v>Permanent camp - &gt; 300 and &lt;= 400 persons</v>
      </c>
      <c r="AI74" s="559" t="str">
        <v>Permanent camp - &gt; 400 and &lt;= 500 persons</v>
      </c>
      <c r="AJ74" s="559" t="str">
        <v>Permanent camp - &gt; 500 and &lt;= 750 persons</v>
      </c>
      <c r="AK74" s="559" t="str">
        <v>Permanent camp - &gt; 750 and &lt;= 1000 persons</v>
      </c>
      <c r="AL74" s="559" t="str">
        <v>Permanent camp - &gt; 1000 and &lt;= 2000 persons</v>
      </c>
      <c r="AM74" s="559" t="str">
        <v>Permanent camp - &gt; 2000 and &lt;= 3000 persons</v>
      </c>
      <c r="AN74" s="559" t="str">
        <v>Permanent camp - &gt; 3000 and &lt;= 4000 persons</v>
      </c>
      <c r="AO74" s="559" t="str">
        <v>Permanent camp - &gt; 4000 and &lt;= 5000 persons</v>
      </c>
      <c r="AQ74" s="560">
        <v>1</v>
      </c>
      <c r="AR74" s="559"/>
    </row>
    <row r="75" spans="1:44" ht="18" customHeight="1">
      <c r="A75" s="532"/>
      <c r="B75" s="533"/>
      <c r="D75" s="544" t="s">
        <v>1777</v>
      </c>
      <c r="G75" s="533" t="s">
        <v>1763</v>
      </c>
      <c r="H75" s="533" t="s">
        <v>119</v>
      </c>
      <c r="I75" s="533" t="s">
        <v>119</v>
      </c>
      <c r="J75" s="533" t="s">
        <v>119</v>
      </c>
      <c r="M75" s="494"/>
      <c r="AQ75" s="561">
        <f>AQ74+1</f>
        <v>2</v>
      </c>
    </row>
    <row r="76" spans="1:44">
      <c r="A76" s="532"/>
      <c r="B76" s="137"/>
      <c r="C76" s="139"/>
      <c r="D76" s="57" t="s">
        <v>1839</v>
      </c>
      <c r="E76" s="567"/>
      <c r="F76" s="568"/>
      <c r="G76" s="89"/>
      <c r="H76" s="55"/>
      <c r="I76" s="55"/>
      <c r="J76" s="55"/>
      <c r="K76" s="494"/>
      <c r="L76" s="562">
        <f t="shared" ref="L76:U85" si="16">IF($D76=L$74,$G76,"")</f>
        <v>0</v>
      </c>
      <c r="M76" s="562" t="str">
        <f t="shared" si="16"/>
        <v/>
      </c>
      <c r="N76" s="562" t="str">
        <f t="shared" si="16"/>
        <v/>
      </c>
      <c r="O76" s="562" t="str">
        <f t="shared" si="16"/>
        <v/>
      </c>
      <c r="P76" s="562" t="str">
        <f t="shared" si="16"/>
        <v/>
      </c>
      <c r="Q76" s="562" t="str">
        <f t="shared" si="16"/>
        <v/>
      </c>
      <c r="R76" s="562" t="str">
        <f t="shared" si="16"/>
        <v/>
      </c>
      <c r="S76" s="562" t="str">
        <f t="shared" si="16"/>
        <v/>
      </c>
      <c r="T76" s="562" t="str">
        <f t="shared" si="16"/>
        <v/>
      </c>
      <c r="U76" s="562" t="str">
        <f t="shared" si="16"/>
        <v/>
      </c>
      <c r="V76" s="562" t="str">
        <f t="shared" ref="V76:AE85" si="17">IF($D76=V$74,$G76,"")</f>
        <v/>
      </c>
      <c r="W76" s="562" t="str">
        <f t="shared" si="17"/>
        <v/>
      </c>
      <c r="X76" s="562" t="str">
        <f t="shared" si="17"/>
        <v/>
      </c>
      <c r="Y76" s="562" t="str">
        <f t="shared" si="17"/>
        <v/>
      </c>
      <c r="Z76" s="562" t="str">
        <f t="shared" si="17"/>
        <v/>
      </c>
      <c r="AA76" s="562" t="str">
        <f t="shared" si="17"/>
        <v/>
      </c>
      <c r="AB76" s="562" t="str">
        <f t="shared" si="17"/>
        <v/>
      </c>
      <c r="AC76" s="562" t="str">
        <f t="shared" si="17"/>
        <v/>
      </c>
      <c r="AD76" s="562" t="str">
        <f t="shared" si="17"/>
        <v/>
      </c>
      <c r="AE76" s="562" t="str">
        <f t="shared" si="17"/>
        <v/>
      </c>
      <c r="AF76" s="562" t="str">
        <f t="shared" ref="AF76:AO85" si="18">IF($D76=AF$74,$G76,"")</f>
        <v/>
      </c>
      <c r="AG76" s="562" t="str">
        <f t="shared" si="18"/>
        <v/>
      </c>
      <c r="AH76" s="562" t="str">
        <f t="shared" si="18"/>
        <v/>
      </c>
      <c r="AI76" s="562" t="str">
        <f t="shared" si="18"/>
        <v/>
      </c>
      <c r="AJ76" s="562" t="str">
        <f t="shared" si="18"/>
        <v/>
      </c>
      <c r="AK76" s="562" t="str">
        <f t="shared" si="18"/>
        <v/>
      </c>
      <c r="AL76" s="562" t="str">
        <f t="shared" si="18"/>
        <v/>
      </c>
      <c r="AM76" s="562" t="str">
        <f t="shared" si="18"/>
        <v/>
      </c>
      <c r="AN76" s="562" t="str">
        <f t="shared" si="18"/>
        <v/>
      </c>
      <c r="AO76" s="562" t="str">
        <f t="shared" si="18"/>
        <v/>
      </c>
      <c r="AQ76" s="561">
        <f t="shared" ref="AQ76:AQ107" si="19">AQ75+1</f>
        <v>3</v>
      </c>
    </row>
    <row r="77" spans="1:44">
      <c r="A77" s="532"/>
      <c r="B77" s="137"/>
      <c r="C77" s="139"/>
      <c r="D77" s="57" t="s">
        <v>1840</v>
      </c>
      <c r="E77" s="567"/>
      <c r="F77" s="568"/>
      <c r="G77" s="67"/>
      <c r="H77" s="55"/>
      <c r="I77" s="55"/>
      <c r="J77" s="55"/>
      <c r="K77" s="494"/>
      <c r="L77" s="562" t="str">
        <f t="shared" si="16"/>
        <v/>
      </c>
      <c r="M77" s="562" t="str">
        <f t="shared" si="16"/>
        <v/>
      </c>
      <c r="N77" s="562" t="str">
        <f t="shared" si="16"/>
        <v/>
      </c>
      <c r="O77" s="562" t="str">
        <f t="shared" si="16"/>
        <v/>
      </c>
      <c r="P77" s="562" t="str">
        <f t="shared" si="16"/>
        <v/>
      </c>
      <c r="Q77" s="562" t="str">
        <f t="shared" si="16"/>
        <v/>
      </c>
      <c r="R77" s="562" t="str">
        <f t="shared" si="16"/>
        <v/>
      </c>
      <c r="S77" s="562" t="str">
        <f t="shared" si="16"/>
        <v/>
      </c>
      <c r="T77" s="562" t="str">
        <f t="shared" si="16"/>
        <v/>
      </c>
      <c r="U77" s="562" t="str">
        <f t="shared" si="16"/>
        <v/>
      </c>
      <c r="V77" s="562" t="str">
        <f t="shared" si="17"/>
        <v/>
      </c>
      <c r="W77" s="562" t="str">
        <f t="shared" si="17"/>
        <v/>
      </c>
      <c r="X77" s="562" t="str">
        <f t="shared" si="17"/>
        <v/>
      </c>
      <c r="Y77" s="562" t="str">
        <f t="shared" si="17"/>
        <v/>
      </c>
      <c r="Z77" s="562">
        <f t="shared" si="17"/>
        <v>0</v>
      </c>
      <c r="AA77" s="562" t="str">
        <f t="shared" si="17"/>
        <v/>
      </c>
      <c r="AB77" s="562" t="str">
        <f t="shared" si="17"/>
        <v/>
      </c>
      <c r="AC77" s="562" t="str">
        <f t="shared" si="17"/>
        <v/>
      </c>
      <c r="AD77" s="562" t="str">
        <f t="shared" si="17"/>
        <v/>
      </c>
      <c r="AE77" s="562" t="str">
        <f t="shared" si="17"/>
        <v/>
      </c>
      <c r="AF77" s="562" t="str">
        <f t="shared" si="18"/>
        <v/>
      </c>
      <c r="AG77" s="562" t="str">
        <f t="shared" si="18"/>
        <v/>
      </c>
      <c r="AH77" s="562" t="str">
        <f t="shared" si="18"/>
        <v/>
      </c>
      <c r="AI77" s="562" t="str">
        <f t="shared" si="18"/>
        <v/>
      </c>
      <c r="AJ77" s="562" t="str">
        <f t="shared" si="18"/>
        <v/>
      </c>
      <c r="AK77" s="562" t="str">
        <f t="shared" si="18"/>
        <v/>
      </c>
      <c r="AL77" s="562" t="str">
        <f t="shared" si="18"/>
        <v/>
      </c>
      <c r="AM77" s="562" t="str">
        <f t="shared" si="18"/>
        <v/>
      </c>
      <c r="AN77" s="562" t="str">
        <f t="shared" si="18"/>
        <v/>
      </c>
      <c r="AO77" s="562" t="str">
        <f t="shared" si="18"/>
        <v/>
      </c>
      <c r="AQ77" s="561">
        <f t="shared" si="19"/>
        <v>4</v>
      </c>
    </row>
    <row r="78" spans="1:44">
      <c r="A78" s="532"/>
      <c r="B78" s="137"/>
      <c r="C78" s="139"/>
      <c r="D78" s="57" t="s">
        <v>1841</v>
      </c>
      <c r="E78" s="567"/>
      <c r="F78" s="568"/>
      <c r="G78" s="67"/>
      <c r="H78" s="55"/>
      <c r="I78" s="55"/>
      <c r="J78" s="55"/>
      <c r="K78" s="494"/>
      <c r="L78" s="562" t="str">
        <f t="shared" si="16"/>
        <v/>
      </c>
      <c r="M78" s="562" t="str">
        <f t="shared" si="16"/>
        <v/>
      </c>
      <c r="N78" s="562" t="str">
        <f t="shared" si="16"/>
        <v/>
      </c>
      <c r="O78" s="562" t="str">
        <f t="shared" si="16"/>
        <v/>
      </c>
      <c r="P78" s="562" t="str">
        <f t="shared" si="16"/>
        <v/>
      </c>
      <c r="Q78" s="562" t="str">
        <f t="shared" si="16"/>
        <v/>
      </c>
      <c r="R78" s="562" t="str">
        <f t="shared" si="16"/>
        <v/>
      </c>
      <c r="S78" s="562" t="str">
        <f t="shared" si="16"/>
        <v/>
      </c>
      <c r="T78" s="562" t="str">
        <f t="shared" si="16"/>
        <v/>
      </c>
      <c r="U78" s="562" t="str">
        <f t="shared" si="16"/>
        <v/>
      </c>
      <c r="V78" s="562" t="str">
        <f t="shared" si="17"/>
        <v/>
      </c>
      <c r="W78" s="562" t="str">
        <f t="shared" si="17"/>
        <v/>
      </c>
      <c r="X78" s="562" t="str">
        <f t="shared" si="17"/>
        <v/>
      </c>
      <c r="Y78" s="562" t="str">
        <f t="shared" si="17"/>
        <v/>
      </c>
      <c r="Z78" s="562" t="str">
        <f t="shared" si="17"/>
        <v/>
      </c>
      <c r="AA78" s="562">
        <f t="shared" si="17"/>
        <v>0</v>
      </c>
      <c r="AB78" s="562" t="str">
        <f t="shared" si="17"/>
        <v/>
      </c>
      <c r="AC78" s="562" t="str">
        <f t="shared" si="17"/>
        <v/>
      </c>
      <c r="AD78" s="562" t="str">
        <f t="shared" si="17"/>
        <v/>
      </c>
      <c r="AE78" s="562" t="str">
        <f t="shared" si="17"/>
        <v/>
      </c>
      <c r="AF78" s="562" t="str">
        <f t="shared" si="18"/>
        <v/>
      </c>
      <c r="AG78" s="562" t="str">
        <f t="shared" si="18"/>
        <v/>
      </c>
      <c r="AH78" s="562" t="str">
        <f t="shared" si="18"/>
        <v/>
      </c>
      <c r="AI78" s="562" t="str">
        <f t="shared" si="18"/>
        <v/>
      </c>
      <c r="AJ78" s="562" t="str">
        <f t="shared" si="18"/>
        <v/>
      </c>
      <c r="AK78" s="562" t="str">
        <f t="shared" si="18"/>
        <v/>
      </c>
      <c r="AL78" s="562" t="str">
        <f t="shared" si="18"/>
        <v/>
      </c>
      <c r="AM78" s="562" t="str">
        <f t="shared" si="18"/>
        <v/>
      </c>
      <c r="AN78" s="562" t="str">
        <f t="shared" si="18"/>
        <v/>
      </c>
      <c r="AO78" s="562" t="str">
        <f t="shared" si="18"/>
        <v/>
      </c>
      <c r="AQ78" s="561">
        <f t="shared" si="19"/>
        <v>5</v>
      </c>
    </row>
    <row r="79" spans="1:44">
      <c r="A79" s="532"/>
      <c r="B79" s="137"/>
      <c r="C79" s="139"/>
      <c r="D79" s="57" t="s">
        <v>1842</v>
      </c>
      <c r="E79" s="567"/>
      <c r="F79" s="568"/>
      <c r="G79" s="67"/>
      <c r="H79" s="55"/>
      <c r="I79" s="55"/>
      <c r="J79" s="55"/>
      <c r="K79" s="494"/>
      <c r="L79" s="562" t="str">
        <f t="shared" si="16"/>
        <v/>
      </c>
      <c r="M79" s="562" t="str">
        <f t="shared" si="16"/>
        <v/>
      </c>
      <c r="N79" s="562" t="str">
        <f t="shared" si="16"/>
        <v/>
      </c>
      <c r="O79" s="562" t="str">
        <f t="shared" si="16"/>
        <v/>
      </c>
      <c r="P79" s="562" t="str">
        <f t="shared" si="16"/>
        <v/>
      </c>
      <c r="Q79" s="562" t="str">
        <f t="shared" si="16"/>
        <v/>
      </c>
      <c r="R79" s="562" t="str">
        <f t="shared" si="16"/>
        <v/>
      </c>
      <c r="S79" s="562" t="str">
        <f t="shared" si="16"/>
        <v/>
      </c>
      <c r="T79" s="562" t="str">
        <f t="shared" si="16"/>
        <v/>
      </c>
      <c r="U79" s="562" t="str">
        <f t="shared" si="16"/>
        <v/>
      </c>
      <c r="V79" s="562" t="str">
        <f t="shared" si="17"/>
        <v/>
      </c>
      <c r="W79" s="562" t="str">
        <f t="shared" si="17"/>
        <v/>
      </c>
      <c r="X79" s="562" t="str">
        <f t="shared" si="17"/>
        <v/>
      </c>
      <c r="Y79" s="562" t="str">
        <f t="shared" si="17"/>
        <v/>
      </c>
      <c r="Z79" s="562" t="str">
        <f t="shared" si="17"/>
        <v/>
      </c>
      <c r="AA79" s="562" t="str">
        <f t="shared" si="17"/>
        <v/>
      </c>
      <c r="AB79" s="562" t="str">
        <f t="shared" si="17"/>
        <v/>
      </c>
      <c r="AC79" s="562" t="str">
        <f t="shared" si="17"/>
        <v/>
      </c>
      <c r="AD79" s="562" t="str">
        <f t="shared" si="17"/>
        <v/>
      </c>
      <c r="AE79" s="562" t="str">
        <f t="shared" si="17"/>
        <v/>
      </c>
      <c r="AF79" s="562" t="str">
        <f t="shared" si="18"/>
        <v/>
      </c>
      <c r="AG79" s="562" t="str">
        <f t="shared" si="18"/>
        <v/>
      </c>
      <c r="AH79" s="562" t="str">
        <f t="shared" si="18"/>
        <v/>
      </c>
      <c r="AI79" s="562" t="str">
        <f t="shared" si="18"/>
        <v/>
      </c>
      <c r="AJ79" s="562" t="str">
        <f t="shared" si="18"/>
        <v/>
      </c>
      <c r="AK79" s="562" t="str">
        <f t="shared" si="18"/>
        <v/>
      </c>
      <c r="AL79" s="562" t="str">
        <f t="shared" si="18"/>
        <v/>
      </c>
      <c r="AM79" s="562" t="str">
        <f t="shared" si="18"/>
        <v/>
      </c>
      <c r="AN79" s="562" t="str">
        <f t="shared" si="18"/>
        <v/>
      </c>
      <c r="AO79" s="562">
        <f t="shared" si="18"/>
        <v>0</v>
      </c>
      <c r="AQ79" s="561">
        <f t="shared" si="19"/>
        <v>6</v>
      </c>
    </row>
    <row r="80" spans="1:44">
      <c r="A80" s="532"/>
      <c r="B80" s="137"/>
      <c r="C80" s="139"/>
      <c r="D80" s="57" t="s">
        <v>1839</v>
      </c>
      <c r="E80" s="567"/>
      <c r="F80" s="568"/>
      <c r="G80" s="67"/>
      <c r="H80" s="55"/>
      <c r="I80" s="55"/>
      <c r="J80" s="55"/>
      <c r="K80" s="494"/>
      <c r="L80" s="562">
        <f t="shared" si="16"/>
        <v>0</v>
      </c>
      <c r="M80" s="562" t="str">
        <f t="shared" si="16"/>
        <v/>
      </c>
      <c r="N80" s="562" t="str">
        <f t="shared" si="16"/>
        <v/>
      </c>
      <c r="O80" s="562" t="str">
        <f t="shared" si="16"/>
        <v/>
      </c>
      <c r="P80" s="562" t="str">
        <f t="shared" si="16"/>
        <v/>
      </c>
      <c r="Q80" s="562" t="str">
        <f t="shared" si="16"/>
        <v/>
      </c>
      <c r="R80" s="562" t="str">
        <f t="shared" si="16"/>
        <v/>
      </c>
      <c r="S80" s="562" t="str">
        <f t="shared" si="16"/>
        <v/>
      </c>
      <c r="T80" s="562" t="str">
        <f t="shared" si="16"/>
        <v/>
      </c>
      <c r="U80" s="562" t="str">
        <f t="shared" si="16"/>
        <v/>
      </c>
      <c r="V80" s="562" t="str">
        <f t="shared" si="17"/>
        <v/>
      </c>
      <c r="W80" s="562" t="str">
        <f t="shared" si="17"/>
        <v/>
      </c>
      <c r="X80" s="562" t="str">
        <f t="shared" si="17"/>
        <v/>
      </c>
      <c r="Y80" s="562" t="str">
        <f t="shared" si="17"/>
        <v/>
      </c>
      <c r="Z80" s="562" t="str">
        <f t="shared" si="17"/>
        <v/>
      </c>
      <c r="AA80" s="562" t="str">
        <f t="shared" si="17"/>
        <v/>
      </c>
      <c r="AB80" s="562" t="str">
        <f t="shared" si="17"/>
        <v/>
      </c>
      <c r="AC80" s="562" t="str">
        <f t="shared" si="17"/>
        <v/>
      </c>
      <c r="AD80" s="562" t="str">
        <f t="shared" si="17"/>
        <v/>
      </c>
      <c r="AE80" s="562" t="str">
        <f t="shared" si="17"/>
        <v/>
      </c>
      <c r="AF80" s="562" t="str">
        <f t="shared" si="18"/>
        <v/>
      </c>
      <c r="AG80" s="562" t="str">
        <f t="shared" si="18"/>
        <v/>
      </c>
      <c r="AH80" s="562" t="str">
        <f t="shared" si="18"/>
        <v/>
      </c>
      <c r="AI80" s="562" t="str">
        <f t="shared" si="18"/>
        <v/>
      </c>
      <c r="AJ80" s="562" t="str">
        <f t="shared" si="18"/>
        <v/>
      </c>
      <c r="AK80" s="562" t="str">
        <f t="shared" si="18"/>
        <v/>
      </c>
      <c r="AL80" s="562" t="str">
        <f t="shared" si="18"/>
        <v/>
      </c>
      <c r="AM80" s="562" t="str">
        <f t="shared" si="18"/>
        <v/>
      </c>
      <c r="AN80" s="562" t="str">
        <f t="shared" si="18"/>
        <v/>
      </c>
      <c r="AO80" s="562" t="str">
        <f t="shared" si="18"/>
        <v/>
      </c>
      <c r="AQ80" s="561">
        <f t="shared" si="19"/>
        <v>7</v>
      </c>
    </row>
    <row r="81" spans="1:43">
      <c r="A81" s="532"/>
      <c r="B81" s="137"/>
      <c r="C81" s="139"/>
      <c r="D81" s="57" t="s">
        <v>1839</v>
      </c>
      <c r="E81" s="567"/>
      <c r="F81" s="568"/>
      <c r="G81" s="67"/>
      <c r="H81" s="55"/>
      <c r="I81" s="55"/>
      <c r="J81" s="55"/>
      <c r="K81" s="494"/>
      <c r="L81" s="562">
        <f t="shared" si="16"/>
        <v>0</v>
      </c>
      <c r="M81" s="562" t="str">
        <f t="shared" si="16"/>
        <v/>
      </c>
      <c r="N81" s="562" t="str">
        <f t="shared" si="16"/>
        <v/>
      </c>
      <c r="O81" s="562" t="str">
        <f t="shared" si="16"/>
        <v/>
      </c>
      <c r="P81" s="562" t="str">
        <f t="shared" si="16"/>
        <v/>
      </c>
      <c r="Q81" s="562" t="str">
        <f t="shared" si="16"/>
        <v/>
      </c>
      <c r="R81" s="562" t="str">
        <f t="shared" si="16"/>
        <v/>
      </c>
      <c r="S81" s="562" t="str">
        <f t="shared" si="16"/>
        <v/>
      </c>
      <c r="T81" s="562" t="str">
        <f t="shared" si="16"/>
        <v/>
      </c>
      <c r="U81" s="562" t="str">
        <f t="shared" si="16"/>
        <v/>
      </c>
      <c r="V81" s="562" t="str">
        <f t="shared" si="17"/>
        <v/>
      </c>
      <c r="W81" s="562" t="str">
        <f t="shared" si="17"/>
        <v/>
      </c>
      <c r="X81" s="562" t="str">
        <f t="shared" si="17"/>
        <v/>
      </c>
      <c r="Y81" s="562" t="str">
        <f t="shared" si="17"/>
        <v/>
      </c>
      <c r="Z81" s="562" t="str">
        <f t="shared" si="17"/>
        <v/>
      </c>
      <c r="AA81" s="562" t="str">
        <f t="shared" si="17"/>
        <v/>
      </c>
      <c r="AB81" s="562" t="str">
        <f t="shared" si="17"/>
        <v/>
      </c>
      <c r="AC81" s="562" t="str">
        <f t="shared" si="17"/>
        <v/>
      </c>
      <c r="AD81" s="562" t="str">
        <f t="shared" si="17"/>
        <v/>
      </c>
      <c r="AE81" s="562" t="str">
        <f t="shared" si="17"/>
        <v/>
      </c>
      <c r="AF81" s="562" t="str">
        <f t="shared" si="18"/>
        <v/>
      </c>
      <c r="AG81" s="562" t="str">
        <f t="shared" si="18"/>
        <v/>
      </c>
      <c r="AH81" s="562" t="str">
        <f t="shared" si="18"/>
        <v/>
      </c>
      <c r="AI81" s="562" t="str">
        <f t="shared" si="18"/>
        <v/>
      </c>
      <c r="AJ81" s="562" t="str">
        <f t="shared" si="18"/>
        <v/>
      </c>
      <c r="AK81" s="562" t="str">
        <f t="shared" si="18"/>
        <v/>
      </c>
      <c r="AL81" s="562" t="str">
        <f t="shared" si="18"/>
        <v/>
      </c>
      <c r="AM81" s="562" t="str">
        <f t="shared" si="18"/>
        <v/>
      </c>
      <c r="AN81" s="562" t="str">
        <f t="shared" si="18"/>
        <v/>
      </c>
      <c r="AO81" s="562" t="str">
        <f t="shared" si="18"/>
        <v/>
      </c>
      <c r="AQ81" s="561">
        <f t="shared" si="19"/>
        <v>8</v>
      </c>
    </row>
    <row r="82" spans="1:43">
      <c r="A82" s="532"/>
      <c r="B82" s="137"/>
      <c r="C82" s="139"/>
      <c r="D82" s="57" t="s">
        <v>1843</v>
      </c>
      <c r="E82" s="567"/>
      <c r="F82" s="568"/>
      <c r="G82" s="67"/>
      <c r="H82" s="55"/>
      <c r="I82" s="55"/>
      <c r="J82" s="55"/>
      <c r="K82" s="494"/>
      <c r="L82" s="562" t="str">
        <f t="shared" si="16"/>
        <v/>
      </c>
      <c r="M82" s="562" t="str">
        <f t="shared" si="16"/>
        <v/>
      </c>
      <c r="N82" s="562" t="str">
        <f t="shared" si="16"/>
        <v/>
      </c>
      <c r="O82" s="562" t="str">
        <f t="shared" si="16"/>
        <v/>
      </c>
      <c r="P82" s="562" t="str">
        <f t="shared" si="16"/>
        <v/>
      </c>
      <c r="Q82" s="562">
        <f t="shared" si="16"/>
        <v>0</v>
      </c>
      <c r="R82" s="562" t="str">
        <f t="shared" si="16"/>
        <v/>
      </c>
      <c r="S82" s="562" t="str">
        <f t="shared" si="16"/>
        <v/>
      </c>
      <c r="T82" s="562" t="str">
        <f t="shared" si="16"/>
        <v/>
      </c>
      <c r="U82" s="562" t="str">
        <f t="shared" si="16"/>
        <v/>
      </c>
      <c r="V82" s="562" t="str">
        <f t="shared" si="17"/>
        <v/>
      </c>
      <c r="W82" s="562" t="str">
        <f t="shared" si="17"/>
        <v/>
      </c>
      <c r="X82" s="562" t="str">
        <f t="shared" si="17"/>
        <v/>
      </c>
      <c r="Y82" s="562" t="str">
        <f t="shared" si="17"/>
        <v/>
      </c>
      <c r="Z82" s="562" t="str">
        <f t="shared" si="17"/>
        <v/>
      </c>
      <c r="AA82" s="562" t="str">
        <f t="shared" si="17"/>
        <v/>
      </c>
      <c r="AB82" s="562" t="str">
        <f t="shared" si="17"/>
        <v/>
      </c>
      <c r="AC82" s="562" t="str">
        <f t="shared" si="17"/>
        <v/>
      </c>
      <c r="AD82" s="562" t="str">
        <f t="shared" si="17"/>
        <v/>
      </c>
      <c r="AE82" s="562" t="str">
        <f t="shared" si="17"/>
        <v/>
      </c>
      <c r="AF82" s="562" t="str">
        <f t="shared" si="18"/>
        <v/>
      </c>
      <c r="AG82" s="562" t="str">
        <f t="shared" si="18"/>
        <v/>
      </c>
      <c r="AH82" s="562" t="str">
        <f t="shared" si="18"/>
        <v/>
      </c>
      <c r="AI82" s="562" t="str">
        <f t="shared" si="18"/>
        <v/>
      </c>
      <c r="AJ82" s="562" t="str">
        <f t="shared" si="18"/>
        <v/>
      </c>
      <c r="AK82" s="562" t="str">
        <f t="shared" si="18"/>
        <v/>
      </c>
      <c r="AL82" s="562" t="str">
        <f t="shared" si="18"/>
        <v/>
      </c>
      <c r="AM82" s="562" t="str">
        <f t="shared" si="18"/>
        <v/>
      </c>
      <c r="AN82" s="562" t="str">
        <f t="shared" si="18"/>
        <v/>
      </c>
      <c r="AO82" s="562" t="str">
        <f t="shared" si="18"/>
        <v/>
      </c>
      <c r="AQ82" s="561">
        <f t="shared" si="19"/>
        <v>9</v>
      </c>
    </row>
    <row r="83" spans="1:43">
      <c r="A83" s="532"/>
      <c r="B83" s="137"/>
      <c r="C83" s="139"/>
      <c r="D83" s="57" t="s">
        <v>1839</v>
      </c>
      <c r="E83" s="567"/>
      <c r="F83" s="568"/>
      <c r="G83" s="67"/>
      <c r="H83" s="55"/>
      <c r="I83" s="55"/>
      <c r="J83" s="55"/>
      <c r="K83" s="494"/>
      <c r="L83" s="562">
        <f t="shared" si="16"/>
        <v>0</v>
      </c>
      <c r="M83" s="562" t="str">
        <f t="shared" si="16"/>
        <v/>
      </c>
      <c r="N83" s="562" t="str">
        <f t="shared" si="16"/>
        <v/>
      </c>
      <c r="O83" s="562" t="str">
        <f t="shared" si="16"/>
        <v/>
      </c>
      <c r="P83" s="562" t="str">
        <f t="shared" si="16"/>
        <v/>
      </c>
      <c r="Q83" s="562" t="str">
        <f t="shared" si="16"/>
        <v/>
      </c>
      <c r="R83" s="562" t="str">
        <f t="shared" si="16"/>
        <v/>
      </c>
      <c r="S83" s="562" t="str">
        <f t="shared" si="16"/>
        <v/>
      </c>
      <c r="T83" s="562" t="str">
        <f t="shared" si="16"/>
        <v/>
      </c>
      <c r="U83" s="562" t="str">
        <f t="shared" si="16"/>
        <v/>
      </c>
      <c r="V83" s="562" t="str">
        <f t="shared" si="17"/>
        <v/>
      </c>
      <c r="W83" s="562" t="str">
        <f t="shared" si="17"/>
        <v/>
      </c>
      <c r="X83" s="562" t="str">
        <f t="shared" si="17"/>
        <v/>
      </c>
      <c r="Y83" s="562" t="str">
        <f t="shared" si="17"/>
        <v/>
      </c>
      <c r="Z83" s="562" t="str">
        <f t="shared" si="17"/>
        <v/>
      </c>
      <c r="AA83" s="562" t="str">
        <f t="shared" si="17"/>
        <v/>
      </c>
      <c r="AB83" s="562" t="str">
        <f t="shared" si="17"/>
        <v/>
      </c>
      <c r="AC83" s="562" t="str">
        <f t="shared" si="17"/>
        <v/>
      </c>
      <c r="AD83" s="562" t="str">
        <f t="shared" si="17"/>
        <v/>
      </c>
      <c r="AE83" s="562" t="str">
        <f t="shared" si="17"/>
        <v/>
      </c>
      <c r="AF83" s="562" t="str">
        <f t="shared" si="18"/>
        <v/>
      </c>
      <c r="AG83" s="562" t="str">
        <f t="shared" si="18"/>
        <v/>
      </c>
      <c r="AH83" s="562" t="str">
        <f t="shared" si="18"/>
        <v/>
      </c>
      <c r="AI83" s="562" t="str">
        <f t="shared" si="18"/>
        <v/>
      </c>
      <c r="AJ83" s="562" t="str">
        <f t="shared" si="18"/>
        <v/>
      </c>
      <c r="AK83" s="562" t="str">
        <f t="shared" si="18"/>
        <v/>
      </c>
      <c r="AL83" s="562" t="str">
        <f t="shared" si="18"/>
        <v/>
      </c>
      <c r="AM83" s="562" t="str">
        <f t="shared" si="18"/>
        <v/>
      </c>
      <c r="AN83" s="562" t="str">
        <f t="shared" si="18"/>
        <v/>
      </c>
      <c r="AO83" s="562" t="str">
        <f t="shared" si="18"/>
        <v/>
      </c>
      <c r="AQ83" s="561">
        <f t="shared" si="19"/>
        <v>10</v>
      </c>
    </row>
    <row r="84" spans="1:43">
      <c r="A84" s="532"/>
      <c r="B84" s="137"/>
      <c r="C84" s="139"/>
      <c r="D84" s="57" t="s">
        <v>1839</v>
      </c>
      <c r="E84" s="567"/>
      <c r="F84" s="568"/>
      <c r="G84" s="67"/>
      <c r="H84" s="55"/>
      <c r="I84" s="55"/>
      <c r="J84" s="55"/>
      <c r="K84" s="494"/>
      <c r="L84" s="562">
        <f t="shared" si="16"/>
        <v>0</v>
      </c>
      <c r="M84" s="562" t="str">
        <f t="shared" si="16"/>
        <v/>
      </c>
      <c r="N84" s="562" t="str">
        <f t="shared" si="16"/>
        <v/>
      </c>
      <c r="O84" s="562" t="str">
        <f t="shared" si="16"/>
        <v/>
      </c>
      <c r="P84" s="562" t="str">
        <f t="shared" si="16"/>
        <v/>
      </c>
      <c r="Q84" s="562" t="str">
        <f t="shared" si="16"/>
        <v/>
      </c>
      <c r="R84" s="562" t="str">
        <f t="shared" si="16"/>
        <v/>
      </c>
      <c r="S84" s="562" t="str">
        <f t="shared" si="16"/>
        <v/>
      </c>
      <c r="T84" s="562" t="str">
        <f t="shared" si="16"/>
        <v/>
      </c>
      <c r="U84" s="562" t="str">
        <f t="shared" si="16"/>
        <v/>
      </c>
      <c r="V84" s="562" t="str">
        <f t="shared" si="17"/>
        <v/>
      </c>
      <c r="W84" s="562" t="str">
        <f t="shared" si="17"/>
        <v/>
      </c>
      <c r="X84" s="562" t="str">
        <f t="shared" si="17"/>
        <v/>
      </c>
      <c r="Y84" s="562" t="str">
        <f t="shared" si="17"/>
        <v/>
      </c>
      <c r="Z84" s="562" t="str">
        <f t="shared" si="17"/>
        <v/>
      </c>
      <c r="AA84" s="562" t="str">
        <f t="shared" si="17"/>
        <v/>
      </c>
      <c r="AB84" s="562" t="str">
        <f t="shared" si="17"/>
        <v/>
      </c>
      <c r="AC84" s="562" t="str">
        <f t="shared" si="17"/>
        <v/>
      </c>
      <c r="AD84" s="562" t="str">
        <f t="shared" si="17"/>
        <v/>
      </c>
      <c r="AE84" s="562" t="str">
        <f t="shared" si="17"/>
        <v/>
      </c>
      <c r="AF84" s="562" t="str">
        <f t="shared" si="18"/>
        <v/>
      </c>
      <c r="AG84" s="562" t="str">
        <f t="shared" si="18"/>
        <v/>
      </c>
      <c r="AH84" s="562" t="str">
        <f t="shared" si="18"/>
        <v/>
      </c>
      <c r="AI84" s="562" t="str">
        <f t="shared" si="18"/>
        <v/>
      </c>
      <c r="AJ84" s="562" t="str">
        <f t="shared" si="18"/>
        <v/>
      </c>
      <c r="AK84" s="562" t="str">
        <f t="shared" si="18"/>
        <v/>
      </c>
      <c r="AL84" s="562" t="str">
        <f t="shared" si="18"/>
        <v/>
      </c>
      <c r="AM84" s="562" t="str">
        <f t="shared" si="18"/>
        <v/>
      </c>
      <c r="AN84" s="562" t="str">
        <f t="shared" si="18"/>
        <v/>
      </c>
      <c r="AO84" s="562" t="str">
        <f t="shared" si="18"/>
        <v/>
      </c>
      <c r="AQ84" s="561">
        <f t="shared" si="19"/>
        <v>11</v>
      </c>
    </row>
    <row r="85" spans="1:43">
      <c r="A85" s="532"/>
      <c r="B85" s="137"/>
      <c r="C85" s="139"/>
      <c r="D85" s="57" t="s">
        <v>1839</v>
      </c>
      <c r="E85" s="567"/>
      <c r="F85" s="568"/>
      <c r="G85" s="67"/>
      <c r="H85" s="55"/>
      <c r="I85" s="55"/>
      <c r="J85" s="55"/>
      <c r="K85" s="494"/>
      <c r="L85" s="562">
        <f t="shared" si="16"/>
        <v>0</v>
      </c>
      <c r="M85" s="562" t="str">
        <f t="shared" si="16"/>
        <v/>
      </c>
      <c r="N85" s="562" t="str">
        <f t="shared" si="16"/>
        <v/>
      </c>
      <c r="O85" s="562" t="str">
        <f t="shared" si="16"/>
        <v/>
      </c>
      <c r="P85" s="562" t="str">
        <f t="shared" si="16"/>
        <v/>
      </c>
      <c r="Q85" s="562" t="str">
        <f t="shared" si="16"/>
        <v/>
      </c>
      <c r="R85" s="562" t="str">
        <f t="shared" si="16"/>
        <v/>
      </c>
      <c r="S85" s="562" t="str">
        <f t="shared" si="16"/>
        <v/>
      </c>
      <c r="T85" s="562" t="str">
        <f t="shared" si="16"/>
        <v/>
      </c>
      <c r="U85" s="562" t="str">
        <f t="shared" si="16"/>
        <v/>
      </c>
      <c r="V85" s="562" t="str">
        <f t="shared" si="17"/>
        <v/>
      </c>
      <c r="W85" s="562" t="str">
        <f t="shared" si="17"/>
        <v/>
      </c>
      <c r="X85" s="562" t="str">
        <f t="shared" si="17"/>
        <v/>
      </c>
      <c r="Y85" s="562" t="str">
        <f t="shared" si="17"/>
        <v/>
      </c>
      <c r="Z85" s="562" t="str">
        <f t="shared" si="17"/>
        <v/>
      </c>
      <c r="AA85" s="562" t="str">
        <f t="shared" si="17"/>
        <v/>
      </c>
      <c r="AB85" s="562" t="str">
        <f t="shared" si="17"/>
        <v/>
      </c>
      <c r="AC85" s="562" t="str">
        <f t="shared" si="17"/>
        <v/>
      </c>
      <c r="AD85" s="562" t="str">
        <f t="shared" si="17"/>
        <v/>
      </c>
      <c r="AE85" s="562" t="str">
        <f t="shared" si="17"/>
        <v/>
      </c>
      <c r="AF85" s="562" t="str">
        <f t="shared" si="18"/>
        <v/>
      </c>
      <c r="AG85" s="562" t="str">
        <f t="shared" si="18"/>
        <v/>
      </c>
      <c r="AH85" s="562" t="str">
        <f t="shared" si="18"/>
        <v/>
      </c>
      <c r="AI85" s="562" t="str">
        <f t="shared" si="18"/>
        <v/>
      </c>
      <c r="AJ85" s="562" t="str">
        <f t="shared" si="18"/>
        <v/>
      </c>
      <c r="AK85" s="562" t="str">
        <f t="shared" si="18"/>
        <v/>
      </c>
      <c r="AL85" s="562" t="str">
        <f t="shared" si="18"/>
        <v/>
      </c>
      <c r="AM85" s="562" t="str">
        <f t="shared" si="18"/>
        <v/>
      </c>
      <c r="AN85" s="562" t="str">
        <f t="shared" si="18"/>
        <v/>
      </c>
      <c r="AO85" s="562" t="str">
        <f t="shared" si="18"/>
        <v/>
      </c>
      <c r="AQ85" s="561">
        <f t="shared" si="19"/>
        <v>12</v>
      </c>
    </row>
    <row r="86" spans="1:43">
      <c r="A86" s="532"/>
      <c r="B86" s="137"/>
      <c r="C86" s="139"/>
      <c r="D86" s="57" t="s">
        <v>1839</v>
      </c>
      <c r="E86" s="567"/>
      <c r="F86" s="568"/>
      <c r="G86" s="67"/>
      <c r="H86" s="55"/>
      <c r="I86" s="55"/>
      <c r="J86" s="55"/>
      <c r="K86" s="494"/>
      <c r="L86" s="562">
        <f t="shared" ref="L86:U95" si="20">IF($D86=L$74,$G86,"")</f>
        <v>0</v>
      </c>
      <c r="M86" s="562" t="str">
        <f t="shared" si="20"/>
        <v/>
      </c>
      <c r="N86" s="562" t="str">
        <f t="shared" si="20"/>
        <v/>
      </c>
      <c r="O86" s="562" t="str">
        <f t="shared" si="20"/>
        <v/>
      </c>
      <c r="P86" s="562" t="str">
        <f t="shared" si="20"/>
        <v/>
      </c>
      <c r="Q86" s="562" t="str">
        <f t="shared" si="20"/>
        <v/>
      </c>
      <c r="R86" s="562" t="str">
        <f t="shared" si="20"/>
        <v/>
      </c>
      <c r="S86" s="562" t="str">
        <f t="shared" si="20"/>
        <v/>
      </c>
      <c r="T86" s="562" t="str">
        <f t="shared" si="20"/>
        <v/>
      </c>
      <c r="U86" s="562" t="str">
        <f t="shared" si="20"/>
        <v/>
      </c>
      <c r="V86" s="562" t="str">
        <f t="shared" ref="V86:AE95" si="21">IF($D86=V$74,$G86,"")</f>
        <v/>
      </c>
      <c r="W86" s="562" t="str">
        <f t="shared" si="21"/>
        <v/>
      </c>
      <c r="X86" s="562" t="str">
        <f t="shared" si="21"/>
        <v/>
      </c>
      <c r="Y86" s="562" t="str">
        <f t="shared" si="21"/>
        <v/>
      </c>
      <c r="Z86" s="562" t="str">
        <f t="shared" si="21"/>
        <v/>
      </c>
      <c r="AA86" s="562" t="str">
        <f t="shared" si="21"/>
        <v/>
      </c>
      <c r="AB86" s="562" t="str">
        <f t="shared" si="21"/>
        <v/>
      </c>
      <c r="AC86" s="562" t="str">
        <f t="shared" si="21"/>
        <v/>
      </c>
      <c r="AD86" s="562" t="str">
        <f t="shared" si="21"/>
        <v/>
      </c>
      <c r="AE86" s="562" t="str">
        <f t="shared" si="21"/>
        <v/>
      </c>
      <c r="AF86" s="562" t="str">
        <f t="shared" ref="AF86:AO95" si="22">IF($D86=AF$74,$G86,"")</f>
        <v/>
      </c>
      <c r="AG86" s="562" t="str">
        <f t="shared" si="22"/>
        <v/>
      </c>
      <c r="AH86" s="562" t="str">
        <f t="shared" si="22"/>
        <v/>
      </c>
      <c r="AI86" s="562" t="str">
        <f t="shared" si="22"/>
        <v/>
      </c>
      <c r="AJ86" s="562" t="str">
        <f t="shared" si="22"/>
        <v/>
      </c>
      <c r="AK86" s="562" t="str">
        <f t="shared" si="22"/>
        <v/>
      </c>
      <c r="AL86" s="562" t="str">
        <f t="shared" si="22"/>
        <v/>
      </c>
      <c r="AM86" s="562" t="str">
        <f t="shared" si="22"/>
        <v/>
      </c>
      <c r="AN86" s="562" t="str">
        <f t="shared" si="22"/>
        <v/>
      </c>
      <c r="AO86" s="562" t="str">
        <f t="shared" si="22"/>
        <v/>
      </c>
      <c r="AQ86" s="561">
        <f t="shared" si="19"/>
        <v>13</v>
      </c>
    </row>
    <row r="87" spans="1:43">
      <c r="A87" s="532"/>
      <c r="B87" s="137"/>
      <c r="C87" s="139"/>
      <c r="D87" s="57" t="s">
        <v>1839</v>
      </c>
      <c r="E87" s="567"/>
      <c r="F87" s="568"/>
      <c r="G87" s="67"/>
      <c r="H87" s="55"/>
      <c r="I87" s="55"/>
      <c r="J87" s="55"/>
      <c r="K87" s="494"/>
      <c r="L87" s="562">
        <f t="shared" si="20"/>
        <v>0</v>
      </c>
      <c r="M87" s="562" t="str">
        <f t="shared" si="20"/>
        <v/>
      </c>
      <c r="N87" s="562" t="str">
        <f t="shared" si="20"/>
        <v/>
      </c>
      <c r="O87" s="562" t="str">
        <f t="shared" si="20"/>
        <v/>
      </c>
      <c r="P87" s="562" t="str">
        <f t="shared" si="20"/>
        <v/>
      </c>
      <c r="Q87" s="562" t="str">
        <f t="shared" si="20"/>
        <v/>
      </c>
      <c r="R87" s="562" t="str">
        <f t="shared" si="20"/>
        <v/>
      </c>
      <c r="S87" s="562" t="str">
        <f t="shared" si="20"/>
        <v/>
      </c>
      <c r="T87" s="562" t="str">
        <f t="shared" si="20"/>
        <v/>
      </c>
      <c r="U87" s="562" t="str">
        <f t="shared" si="20"/>
        <v/>
      </c>
      <c r="V87" s="562" t="str">
        <f t="shared" si="21"/>
        <v/>
      </c>
      <c r="W87" s="562" t="str">
        <f t="shared" si="21"/>
        <v/>
      </c>
      <c r="X87" s="562" t="str">
        <f t="shared" si="21"/>
        <v/>
      </c>
      <c r="Y87" s="562" t="str">
        <f t="shared" si="21"/>
        <v/>
      </c>
      <c r="Z87" s="562" t="str">
        <f t="shared" si="21"/>
        <v/>
      </c>
      <c r="AA87" s="562" t="str">
        <f t="shared" si="21"/>
        <v/>
      </c>
      <c r="AB87" s="562" t="str">
        <f t="shared" si="21"/>
        <v/>
      </c>
      <c r="AC87" s="562" t="str">
        <f t="shared" si="21"/>
        <v/>
      </c>
      <c r="AD87" s="562" t="str">
        <f t="shared" si="21"/>
        <v/>
      </c>
      <c r="AE87" s="562" t="str">
        <f t="shared" si="21"/>
        <v/>
      </c>
      <c r="AF87" s="562" t="str">
        <f t="shared" si="22"/>
        <v/>
      </c>
      <c r="AG87" s="562" t="str">
        <f t="shared" si="22"/>
        <v/>
      </c>
      <c r="AH87" s="562" t="str">
        <f t="shared" si="22"/>
        <v/>
      </c>
      <c r="AI87" s="562" t="str">
        <f t="shared" si="22"/>
        <v/>
      </c>
      <c r="AJ87" s="562" t="str">
        <f t="shared" si="22"/>
        <v/>
      </c>
      <c r="AK87" s="562" t="str">
        <f t="shared" si="22"/>
        <v/>
      </c>
      <c r="AL87" s="562" t="str">
        <f t="shared" si="22"/>
        <v/>
      </c>
      <c r="AM87" s="562" t="str">
        <f t="shared" si="22"/>
        <v/>
      </c>
      <c r="AN87" s="562" t="str">
        <f t="shared" si="22"/>
        <v/>
      </c>
      <c r="AO87" s="562" t="str">
        <f t="shared" si="22"/>
        <v/>
      </c>
      <c r="AQ87" s="561">
        <f t="shared" si="19"/>
        <v>14</v>
      </c>
    </row>
    <row r="88" spans="1:43">
      <c r="A88" s="532"/>
      <c r="B88" s="137"/>
      <c r="C88" s="139"/>
      <c r="D88" s="57" t="s">
        <v>1839</v>
      </c>
      <c r="E88" s="567"/>
      <c r="F88" s="568"/>
      <c r="G88" s="67"/>
      <c r="H88" s="55"/>
      <c r="I88" s="55"/>
      <c r="J88" s="55"/>
      <c r="K88" s="494"/>
      <c r="L88" s="562">
        <f t="shared" si="20"/>
        <v>0</v>
      </c>
      <c r="M88" s="562" t="str">
        <f t="shared" si="20"/>
        <v/>
      </c>
      <c r="N88" s="562" t="str">
        <f t="shared" si="20"/>
        <v/>
      </c>
      <c r="O88" s="562" t="str">
        <f t="shared" si="20"/>
        <v/>
      </c>
      <c r="P88" s="562" t="str">
        <f t="shared" si="20"/>
        <v/>
      </c>
      <c r="Q88" s="562" t="str">
        <f t="shared" si="20"/>
        <v/>
      </c>
      <c r="R88" s="562" t="str">
        <f t="shared" si="20"/>
        <v/>
      </c>
      <c r="S88" s="562" t="str">
        <f t="shared" si="20"/>
        <v/>
      </c>
      <c r="T88" s="562" t="str">
        <f t="shared" si="20"/>
        <v/>
      </c>
      <c r="U88" s="562" t="str">
        <f t="shared" si="20"/>
        <v/>
      </c>
      <c r="V88" s="562" t="str">
        <f t="shared" si="21"/>
        <v/>
      </c>
      <c r="W88" s="562" t="str">
        <f t="shared" si="21"/>
        <v/>
      </c>
      <c r="X88" s="562" t="str">
        <f t="shared" si="21"/>
        <v/>
      </c>
      <c r="Y88" s="562" t="str">
        <f t="shared" si="21"/>
        <v/>
      </c>
      <c r="Z88" s="562" t="str">
        <f t="shared" si="21"/>
        <v/>
      </c>
      <c r="AA88" s="562" t="str">
        <f t="shared" si="21"/>
        <v/>
      </c>
      <c r="AB88" s="562" t="str">
        <f t="shared" si="21"/>
        <v/>
      </c>
      <c r="AC88" s="562" t="str">
        <f t="shared" si="21"/>
        <v/>
      </c>
      <c r="AD88" s="562" t="str">
        <f t="shared" si="21"/>
        <v/>
      </c>
      <c r="AE88" s="562" t="str">
        <f t="shared" si="21"/>
        <v/>
      </c>
      <c r="AF88" s="562" t="str">
        <f t="shared" si="22"/>
        <v/>
      </c>
      <c r="AG88" s="562" t="str">
        <f t="shared" si="22"/>
        <v/>
      </c>
      <c r="AH88" s="562" t="str">
        <f t="shared" si="22"/>
        <v/>
      </c>
      <c r="AI88" s="562" t="str">
        <f t="shared" si="22"/>
        <v/>
      </c>
      <c r="AJ88" s="562" t="str">
        <f t="shared" si="22"/>
        <v/>
      </c>
      <c r="AK88" s="562" t="str">
        <f t="shared" si="22"/>
        <v/>
      </c>
      <c r="AL88" s="562" t="str">
        <f t="shared" si="22"/>
        <v/>
      </c>
      <c r="AM88" s="562" t="str">
        <f t="shared" si="22"/>
        <v/>
      </c>
      <c r="AN88" s="562" t="str">
        <f t="shared" si="22"/>
        <v/>
      </c>
      <c r="AO88" s="562" t="str">
        <f t="shared" si="22"/>
        <v/>
      </c>
      <c r="AQ88" s="561">
        <f t="shared" si="19"/>
        <v>15</v>
      </c>
    </row>
    <row r="89" spans="1:43">
      <c r="A89" s="532"/>
      <c r="B89" s="137"/>
      <c r="C89" s="139"/>
      <c r="D89" s="57" t="s">
        <v>1839</v>
      </c>
      <c r="E89" s="567"/>
      <c r="F89" s="568"/>
      <c r="G89" s="67"/>
      <c r="H89" s="55"/>
      <c r="I89" s="55"/>
      <c r="J89" s="55"/>
      <c r="K89" s="494"/>
      <c r="L89" s="562">
        <f t="shared" si="20"/>
        <v>0</v>
      </c>
      <c r="M89" s="562" t="str">
        <f t="shared" si="20"/>
        <v/>
      </c>
      <c r="N89" s="562" t="str">
        <f t="shared" si="20"/>
        <v/>
      </c>
      <c r="O89" s="562" t="str">
        <f t="shared" si="20"/>
        <v/>
      </c>
      <c r="P89" s="562" t="str">
        <f t="shared" si="20"/>
        <v/>
      </c>
      <c r="Q89" s="562" t="str">
        <f t="shared" si="20"/>
        <v/>
      </c>
      <c r="R89" s="562" t="str">
        <f t="shared" si="20"/>
        <v/>
      </c>
      <c r="S89" s="562" t="str">
        <f t="shared" si="20"/>
        <v/>
      </c>
      <c r="T89" s="562" t="str">
        <f t="shared" si="20"/>
        <v/>
      </c>
      <c r="U89" s="562" t="str">
        <f t="shared" si="20"/>
        <v/>
      </c>
      <c r="V89" s="562" t="str">
        <f t="shared" si="21"/>
        <v/>
      </c>
      <c r="W89" s="562" t="str">
        <f t="shared" si="21"/>
        <v/>
      </c>
      <c r="X89" s="562" t="str">
        <f t="shared" si="21"/>
        <v/>
      </c>
      <c r="Y89" s="562" t="str">
        <f t="shared" si="21"/>
        <v/>
      </c>
      <c r="Z89" s="562" t="str">
        <f t="shared" si="21"/>
        <v/>
      </c>
      <c r="AA89" s="562" t="str">
        <f t="shared" si="21"/>
        <v/>
      </c>
      <c r="AB89" s="562" t="str">
        <f t="shared" si="21"/>
        <v/>
      </c>
      <c r="AC89" s="562" t="str">
        <f t="shared" si="21"/>
        <v/>
      </c>
      <c r="AD89" s="562" t="str">
        <f t="shared" si="21"/>
        <v/>
      </c>
      <c r="AE89" s="562" t="str">
        <f t="shared" si="21"/>
        <v/>
      </c>
      <c r="AF89" s="562" t="str">
        <f t="shared" si="22"/>
        <v/>
      </c>
      <c r="AG89" s="562" t="str">
        <f t="shared" si="22"/>
        <v/>
      </c>
      <c r="AH89" s="562" t="str">
        <f t="shared" si="22"/>
        <v/>
      </c>
      <c r="AI89" s="562" t="str">
        <f t="shared" si="22"/>
        <v/>
      </c>
      <c r="AJ89" s="562" t="str">
        <f t="shared" si="22"/>
        <v/>
      </c>
      <c r="AK89" s="562" t="str">
        <f t="shared" si="22"/>
        <v/>
      </c>
      <c r="AL89" s="562" t="str">
        <f t="shared" si="22"/>
        <v/>
      </c>
      <c r="AM89" s="562" t="str">
        <f t="shared" si="22"/>
        <v/>
      </c>
      <c r="AN89" s="562" t="str">
        <f t="shared" si="22"/>
        <v/>
      </c>
      <c r="AO89" s="562" t="str">
        <f t="shared" si="22"/>
        <v/>
      </c>
      <c r="AQ89" s="561">
        <f t="shared" si="19"/>
        <v>16</v>
      </c>
    </row>
    <row r="90" spans="1:43">
      <c r="A90" s="532"/>
      <c r="B90" s="137"/>
      <c r="C90" s="139"/>
      <c r="D90" s="57" t="s">
        <v>1839</v>
      </c>
      <c r="E90" s="567"/>
      <c r="F90" s="568"/>
      <c r="G90" s="67"/>
      <c r="H90" s="55"/>
      <c r="I90" s="55"/>
      <c r="J90" s="55"/>
      <c r="K90" s="494"/>
      <c r="L90" s="562">
        <f t="shared" si="20"/>
        <v>0</v>
      </c>
      <c r="M90" s="562" t="str">
        <f t="shared" si="20"/>
        <v/>
      </c>
      <c r="N90" s="562" t="str">
        <f t="shared" si="20"/>
        <v/>
      </c>
      <c r="O90" s="562" t="str">
        <f t="shared" si="20"/>
        <v/>
      </c>
      <c r="P90" s="562" t="str">
        <f t="shared" si="20"/>
        <v/>
      </c>
      <c r="Q90" s="562" t="str">
        <f t="shared" si="20"/>
        <v/>
      </c>
      <c r="R90" s="562" t="str">
        <f t="shared" si="20"/>
        <v/>
      </c>
      <c r="S90" s="562" t="str">
        <f t="shared" si="20"/>
        <v/>
      </c>
      <c r="T90" s="562" t="str">
        <f t="shared" si="20"/>
        <v/>
      </c>
      <c r="U90" s="562" t="str">
        <f t="shared" si="20"/>
        <v/>
      </c>
      <c r="V90" s="562" t="str">
        <f t="shared" si="21"/>
        <v/>
      </c>
      <c r="W90" s="562" t="str">
        <f t="shared" si="21"/>
        <v/>
      </c>
      <c r="X90" s="562" t="str">
        <f t="shared" si="21"/>
        <v/>
      </c>
      <c r="Y90" s="562" t="str">
        <f t="shared" si="21"/>
        <v/>
      </c>
      <c r="Z90" s="562" t="str">
        <f t="shared" si="21"/>
        <v/>
      </c>
      <c r="AA90" s="562" t="str">
        <f t="shared" si="21"/>
        <v/>
      </c>
      <c r="AB90" s="562" t="str">
        <f t="shared" si="21"/>
        <v/>
      </c>
      <c r="AC90" s="562" t="str">
        <f t="shared" si="21"/>
        <v/>
      </c>
      <c r="AD90" s="562" t="str">
        <f t="shared" si="21"/>
        <v/>
      </c>
      <c r="AE90" s="562" t="str">
        <f t="shared" si="21"/>
        <v/>
      </c>
      <c r="AF90" s="562" t="str">
        <f t="shared" si="22"/>
        <v/>
      </c>
      <c r="AG90" s="562" t="str">
        <f t="shared" si="22"/>
        <v/>
      </c>
      <c r="AH90" s="562" t="str">
        <f t="shared" si="22"/>
        <v/>
      </c>
      <c r="AI90" s="562" t="str">
        <f t="shared" si="22"/>
        <v/>
      </c>
      <c r="AJ90" s="562" t="str">
        <f t="shared" si="22"/>
        <v/>
      </c>
      <c r="AK90" s="562" t="str">
        <f t="shared" si="22"/>
        <v/>
      </c>
      <c r="AL90" s="562" t="str">
        <f t="shared" si="22"/>
        <v/>
      </c>
      <c r="AM90" s="562" t="str">
        <f t="shared" si="22"/>
        <v/>
      </c>
      <c r="AN90" s="562" t="str">
        <f t="shared" si="22"/>
        <v/>
      </c>
      <c r="AO90" s="562" t="str">
        <f t="shared" si="22"/>
        <v/>
      </c>
      <c r="AQ90" s="561">
        <f t="shared" si="19"/>
        <v>17</v>
      </c>
    </row>
    <row r="91" spans="1:43">
      <c r="A91" s="532"/>
      <c r="B91" s="137"/>
      <c r="C91" s="139"/>
      <c r="D91" s="57" t="s">
        <v>1839</v>
      </c>
      <c r="E91" s="567"/>
      <c r="F91" s="568"/>
      <c r="G91" s="67"/>
      <c r="H91" s="55"/>
      <c r="I91" s="55"/>
      <c r="J91" s="55"/>
      <c r="K91" s="494"/>
      <c r="L91" s="562">
        <f t="shared" si="20"/>
        <v>0</v>
      </c>
      <c r="M91" s="562" t="str">
        <f t="shared" si="20"/>
        <v/>
      </c>
      <c r="N91" s="562" t="str">
        <f t="shared" si="20"/>
        <v/>
      </c>
      <c r="O91" s="562" t="str">
        <f t="shared" si="20"/>
        <v/>
      </c>
      <c r="P91" s="562" t="str">
        <f t="shared" si="20"/>
        <v/>
      </c>
      <c r="Q91" s="562" t="str">
        <f t="shared" si="20"/>
        <v/>
      </c>
      <c r="R91" s="562" t="str">
        <f t="shared" si="20"/>
        <v/>
      </c>
      <c r="S91" s="562" t="str">
        <f t="shared" si="20"/>
        <v/>
      </c>
      <c r="T91" s="562" t="str">
        <f t="shared" si="20"/>
        <v/>
      </c>
      <c r="U91" s="562" t="str">
        <f t="shared" si="20"/>
        <v/>
      </c>
      <c r="V91" s="562" t="str">
        <f t="shared" si="21"/>
        <v/>
      </c>
      <c r="W91" s="562" t="str">
        <f t="shared" si="21"/>
        <v/>
      </c>
      <c r="X91" s="562" t="str">
        <f t="shared" si="21"/>
        <v/>
      </c>
      <c r="Y91" s="562" t="str">
        <f t="shared" si="21"/>
        <v/>
      </c>
      <c r="Z91" s="562" t="str">
        <f t="shared" si="21"/>
        <v/>
      </c>
      <c r="AA91" s="562" t="str">
        <f t="shared" si="21"/>
        <v/>
      </c>
      <c r="AB91" s="562" t="str">
        <f t="shared" si="21"/>
        <v/>
      </c>
      <c r="AC91" s="562" t="str">
        <f t="shared" si="21"/>
        <v/>
      </c>
      <c r="AD91" s="562" t="str">
        <f t="shared" si="21"/>
        <v/>
      </c>
      <c r="AE91" s="562" t="str">
        <f t="shared" si="21"/>
        <v/>
      </c>
      <c r="AF91" s="562" t="str">
        <f t="shared" si="22"/>
        <v/>
      </c>
      <c r="AG91" s="562" t="str">
        <f t="shared" si="22"/>
        <v/>
      </c>
      <c r="AH91" s="562" t="str">
        <f t="shared" si="22"/>
        <v/>
      </c>
      <c r="AI91" s="562" t="str">
        <f t="shared" si="22"/>
        <v/>
      </c>
      <c r="AJ91" s="562" t="str">
        <f t="shared" si="22"/>
        <v/>
      </c>
      <c r="AK91" s="562" t="str">
        <f t="shared" si="22"/>
        <v/>
      </c>
      <c r="AL91" s="562" t="str">
        <f t="shared" si="22"/>
        <v/>
      </c>
      <c r="AM91" s="562" t="str">
        <f t="shared" si="22"/>
        <v/>
      </c>
      <c r="AN91" s="562" t="str">
        <f t="shared" si="22"/>
        <v/>
      </c>
      <c r="AO91" s="562" t="str">
        <f t="shared" si="22"/>
        <v/>
      </c>
      <c r="AQ91" s="561">
        <f t="shared" si="19"/>
        <v>18</v>
      </c>
    </row>
    <row r="92" spans="1:43">
      <c r="A92" s="532"/>
      <c r="B92" s="137"/>
      <c r="C92" s="139"/>
      <c r="D92" s="57" t="s">
        <v>1839</v>
      </c>
      <c r="E92" s="567"/>
      <c r="F92" s="568"/>
      <c r="G92" s="67"/>
      <c r="H92" s="55"/>
      <c r="I92" s="55"/>
      <c r="J92" s="55"/>
      <c r="K92" s="494"/>
      <c r="L92" s="562">
        <f t="shared" si="20"/>
        <v>0</v>
      </c>
      <c r="M92" s="562" t="str">
        <f t="shared" si="20"/>
        <v/>
      </c>
      <c r="N92" s="562" t="str">
        <f t="shared" si="20"/>
        <v/>
      </c>
      <c r="O92" s="562" t="str">
        <f t="shared" si="20"/>
        <v/>
      </c>
      <c r="P92" s="562" t="str">
        <f t="shared" si="20"/>
        <v/>
      </c>
      <c r="Q92" s="562" t="str">
        <f t="shared" si="20"/>
        <v/>
      </c>
      <c r="R92" s="562" t="str">
        <f t="shared" si="20"/>
        <v/>
      </c>
      <c r="S92" s="562" t="str">
        <f t="shared" si="20"/>
        <v/>
      </c>
      <c r="T92" s="562" t="str">
        <f t="shared" si="20"/>
        <v/>
      </c>
      <c r="U92" s="562" t="str">
        <f t="shared" si="20"/>
        <v/>
      </c>
      <c r="V92" s="562" t="str">
        <f t="shared" si="21"/>
        <v/>
      </c>
      <c r="W92" s="562" t="str">
        <f t="shared" si="21"/>
        <v/>
      </c>
      <c r="X92" s="562" t="str">
        <f t="shared" si="21"/>
        <v/>
      </c>
      <c r="Y92" s="562" t="str">
        <f t="shared" si="21"/>
        <v/>
      </c>
      <c r="Z92" s="562" t="str">
        <f t="shared" si="21"/>
        <v/>
      </c>
      <c r="AA92" s="562" t="str">
        <f t="shared" si="21"/>
        <v/>
      </c>
      <c r="AB92" s="562" t="str">
        <f t="shared" si="21"/>
        <v/>
      </c>
      <c r="AC92" s="562" t="str">
        <f t="shared" si="21"/>
        <v/>
      </c>
      <c r="AD92" s="562" t="str">
        <f t="shared" si="21"/>
        <v/>
      </c>
      <c r="AE92" s="562" t="str">
        <f t="shared" si="21"/>
        <v/>
      </c>
      <c r="AF92" s="562" t="str">
        <f t="shared" si="22"/>
        <v/>
      </c>
      <c r="AG92" s="562" t="str">
        <f t="shared" si="22"/>
        <v/>
      </c>
      <c r="AH92" s="562" t="str">
        <f t="shared" si="22"/>
        <v/>
      </c>
      <c r="AI92" s="562" t="str">
        <f t="shared" si="22"/>
        <v/>
      </c>
      <c r="AJ92" s="562" t="str">
        <f t="shared" si="22"/>
        <v/>
      </c>
      <c r="AK92" s="562" t="str">
        <f t="shared" si="22"/>
        <v/>
      </c>
      <c r="AL92" s="562" t="str">
        <f t="shared" si="22"/>
        <v/>
      </c>
      <c r="AM92" s="562" t="str">
        <f t="shared" si="22"/>
        <v/>
      </c>
      <c r="AN92" s="562" t="str">
        <f t="shared" si="22"/>
        <v/>
      </c>
      <c r="AO92" s="562" t="str">
        <f t="shared" si="22"/>
        <v/>
      </c>
      <c r="AQ92" s="561">
        <f t="shared" si="19"/>
        <v>19</v>
      </c>
    </row>
    <row r="93" spans="1:43">
      <c r="A93" s="532"/>
      <c r="B93" s="137"/>
      <c r="C93" s="139"/>
      <c r="D93" s="57" t="s">
        <v>1839</v>
      </c>
      <c r="E93" s="567"/>
      <c r="F93" s="568"/>
      <c r="G93" s="67"/>
      <c r="H93" s="55"/>
      <c r="I93" s="55"/>
      <c r="J93" s="55"/>
      <c r="K93" s="494"/>
      <c r="L93" s="562">
        <f t="shared" si="20"/>
        <v>0</v>
      </c>
      <c r="M93" s="562" t="str">
        <f t="shared" si="20"/>
        <v/>
      </c>
      <c r="N93" s="562" t="str">
        <f t="shared" si="20"/>
        <v/>
      </c>
      <c r="O93" s="562" t="str">
        <f t="shared" si="20"/>
        <v/>
      </c>
      <c r="P93" s="562" t="str">
        <f t="shared" si="20"/>
        <v/>
      </c>
      <c r="Q93" s="562" t="str">
        <f t="shared" si="20"/>
        <v/>
      </c>
      <c r="R93" s="562" t="str">
        <f t="shared" si="20"/>
        <v/>
      </c>
      <c r="S93" s="562" t="str">
        <f t="shared" si="20"/>
        <v/>
      </c>
      <c r="T93" s="562" t="str">
        <f t="shared" si="20"/>
        <v/>
      </c>
      <c r="U93" s="562" t="str">
        <f t="shared" si="20"/>
        <v/>
      </c>
      <c r="V93" s="562" t="str">
        <f t="shared" si="21"/>
        <v/>
      </c>
      <c r="W93" s="562" t="str">
        <f t="shared" si="21"/>
        <v/>
      </c>
      <c r="X93" s="562" t="str">
        <f t="shared" si="21"/>
        <v/>
      </c>
      <c r="Y93" s="562" t="str">
        <f t="shared" si="21"/>
        <v/>
      </c>
      <c r="Z93" s="562" t="str">
        <f t="shared" si="21"/>
        <v/>
      </c>
      <c r="AA93" s="562" t="str">
        <f t="shared" si="21"/>
        <v/>
      </c>
      <c r="AB93" s="562" t="str">
        <f t="shared" si="21"/>
        <v/>
      </c>
      <c r="AC93" s="562" t="str">
        <f t="shared" si="21"/>
        <v/>
      </c>
      <c r="AD93" s="562" t="str">
        <f t="shared" si="21"/>
        <v/>
      </c>
      <c r="AE93" s="562" t="str">
        <f t="shared" si="21"/>
        <v/>
      </c>
      <c r="AF93" s="562" t="str">
        <f t="shared" si="22"/>
        <v/>
      </c>
      <c r="AG93" s="562" t="str">
        <f t="shared" si="22"/>
        <v/>
      </c>
      <c r="AH93" s="562" t="str">
        <f t="shared" si="22"/>
        <v/>
      </c>
      <c r="AI93" s="562" t="str">
        <f t="shared" si="22"/>
        <v/>
      </c>
      <c r="AJ93" s="562" t="str">
        <f t="shared" si="22"/>
        <v/>
      </c>
      <c r="AK93" s="562" t="str">
        <f t="shared" si="22"/>
        <v/>
      </c>
      <c r="AL93" s="562" t="str">
        <f t="shared" si="22"/>
        <v/>
      </c>
      <c r="AM93" s="562" t="str">
        <f t="shared" si="22"/>
        <v/>
      </c>
      <c r="AN93" s="562" t="str">
        <f t="shared" si="22"/>
        <v/>
      </c>
      <c r="AO93" s="562" t="str">
        <f t="shared" si="22"/>
        <v/>
      </c>
      <c r="AQ93" s="561">
        <f t="shared" si="19"/>
        <v>20</v>
      </c>
    </row>
    <row r="94" spans="1:43">
      <c r="A94" s="532"/>
      <c r="B94" s="137"/>
      <c r="C94" s="139"/>
      <c r="D94" s="57" t="s">
        <v>1839</v>
      </c>
      <c r="E94" s="567"/>
      <c r="F94" s="568"/>
      <c r="G94" s="67"/>
      <c r="H94" s="55"/>
      <c r="I94" s="55"/>
      <c r="J94" s="55"/>
      <c r="K94" s="494"/>
      <c r="L94" s="562">
        <f t="shared" si="20"/>
        <v>0</v>
      </c>
      <c r="M94" s="562" t="str">
        <f t="shared" si="20"/>
        <v/>
      </c>
      <c r="N94" s="562" t="str">
        <f t="shared" si="20"/>
        <v/>
      </c>
      <c r="O94" s="562" t="str">
        <f t="shared" si="20"/>
        <v/>
      </c>
      <c r="P94" s="562" t="str">
        <f t="shared" si="20"/>
        <v/>
      </c>
      <c r="Q94" s="562" t="str">
        <f t="shared" si="20"/>
        <v/>
      </c>
      <c r="R94" s="562" t="str">
        <f t="shared" si="20"/>
        <v/>
      </c>
      <c r="S94" s="562" t="str">
        <f t="shared" si="20"/>
        <v/>
      </c>
      <c r="T94" s="562" t="str">
        <f t="shared" si="20"/>
        <v/>
      </c>
      <c r="U94" s="562" t="str">
        <f t="shared" si="20"/>
        <v/>
      </c>
      <c r="V94" s="562" t="str">
        <f t="shared" si="21"/>
        <v/>
      </c>
      <c r="W94" s="562" t="str">
        <f t="shared" si="21"/>
        <v/>
      </c>
      <c r="X94" s="562" t="str">
        <f t="shared" si="21"/>
        <v/>
      </c>
      <c r="Y94" s="562" t="str">
        <f t="shared" si="21"/>
        <v/>
      </c>
      <c r="Z94" s="562" t="str">
        <f t="shared" si="21"/>
        <v/>
      </c>
      <c r="AA94" s="562" t="str">
        <f t="shared" si="21"/>
        <v/>
      </c>
      <c r="AB94" s="562" t="str">
        <f t="shared" si="21"/>
        <v/>
      </c>
      <c r="AC94" s="562" t="str">
        <f t="shared" si="21"/>
        <v/>
      </c>
      <c r="AD94" s="562" t="str">
        <f t="shared" si="21"/>
        <v/>
      </c>
      <c r="AE94" s="562" t="str">
        <f t="shared" si="21"/>
        <v/>
      </c>
      <c r="AF94" s="562" t="str">
        <f t="shared" si="22"/>
        <v/>
      </c>
      <c r="AG94" s="562" t="str">
        <f t="shared" si="22"/>
        <v/>
      </c>
      <c r="AH94" s="562" t="str">
        <f t="shared" si="22"/>
        <v/>
      </c>
      <c r="AI94" s="562" t="str">
        <f t="shared" si="22"/>
        <v/>
      </c>
      <c r="AJ94" s="562" t="str">
        <f t="shared" si="22"/>
        <v/>
      </c>
      <c r="AK94" s="562" t="str">
        <f t="shared" si="22"/>
        <v/>
      </c>
      <c r="AL94" s="562" t="str">
        <f t="shared" si="22"/>
        <v/>
      </c>
      <c r="AM94" s="562" t="str">
        <f t="shared" si="22"/>
        <v/>
      </c>
      <c r="AN94" s="562" t="str">
        <f t="shared" si="22"/>
        <v/>
      </c>
      <c r="AO94" s="562" t="str">
        <f t="shared" si="22"/>
        <v/>
      </c>
      <c r="AQ94" s="561">
        <f t="shared" si="19"/>
        <v>21</v>
      </c>
    </row>
    <row r="95" spans="1:43">
      <c r="A95" s="532"/>
      <c r="B95" s="137"/>
      <c r="C95" s="139"/>
      <c r="D95" s="57" t="s">
        <v>1839</v>
      </c>
      <c r="E95" s="567"/>
      <c r="F95" s="568"/>
      <c r="G95" s="67"/>
      <c r="H95" s="55"/>
      <c r="I95" s="55"/>
      <c r="J95" s="55"/>
      <c r="K95" s="494"/>
      <c r="L95" s="562">
        <f t="shared" si="20"/>
        <v>0</v>
      </c>
      <c r="M95" s="562" t="str">
        <f t="shared" si="20"/>
        <v/>
      </c>
      <c r="N95" s="562" t="str">
        <f t="shared" si="20"/>
        <v/>
      </c>
      <c r="O95" s="562" t="str">
        <f t="shared" si="20"/>
        <v/>
      </c>
      <c r="P95" s="562" t="str">
        <f t="shared" si="20"/>
        <v/>
      </c>
      <c r="Q95" s="562" t="str">
        <f t="shared" si="20"/>
        <v/>
      </c>
      <c r="R95" s="562" t="str">
        <f t="shared" si="20"/>
        <v/>
      </c>
      <c r="S95" s="562" t="str">
        <f t="shared" si="20"/>
        <v/>
      </c>
      <c r="T95" s="562" t="str">
        <f t="shared" si="20"/>
        <v/>
      </c>
      <c r="U95" s="562" t="str">
        <f t="shared" si="20"/>
        <v/>
      </c>
      <c r="V95" s="562" t="str">
        <f t="shared" si="21"/>
        <v/>
      </c>
      <c r="W95" s="562" t="str">
        <f t="shared" si="21"/>
        <v/>
      </c>
      <c r="X95" s="562" t="str">
        <f t="shared" si="21"/>
        <v/>
      </c>
      <c r="Y95" s="562" t="str">
        <f t="shared" si="21"/>
        <v/>
      </c>
      <c r="Z95" s="562" t="str">
        <f t="shared" si="21"/>
        <v/>
      </c>
      <c r="AA95" s="562" t="str">
        <f t="shared" si="21"/>
        <v/>
      </c>
      <c r="AB95" s="562" t="str">
        <f t="shared" si="21"/>
        <v/>
      </c>
      <c r="AC95" s="562" t="str">
        <f t="shared" si="21"/>
        <v/>
      </c>
      <c r="AD95" s="562" t="str">
        <f t="shared" si="21"/>
        <v/>
      </c>
      <c r="AE95" s="562" t="str">
        <f t="shared" si="21"/>
        <v/>
      </c>
      <c r="AF95" s="562" t="str">
        <f t="shared" si="22"/>
        <v/>
      </c>
      <c r="AG95" s="562" t="str">
        <f t="shared" si="22"/>
        <v/>
      </c>
      <c r="AH95" s="562" t="str">
        <f t="shared" si="22"/>
        <v/>
      </c>
      <c r="AI95" s="562" t="str">
        <f t="shared" si="22"/>
        <v/>
      </c>
      <c r="AJ95" s="562" t="str">
        <f t="shared" si="22"/>
        <v/>
      </c>
      <c r="AK95" s="562" t="str">
        <f t="shared" si="22"/>
        <v/>
      </c>
      <c r="AL95" s="562" t="str">
        <f t="shared" si="22"/>
        <v/>
      </c>
      <c r="AM95" s="562" t="str">
        <f t="shared" si="22"/>
        <v/>
      </c>
      <c r="AN95" s="562" t="str">
        <f t="shared" si="22"/>
        <v/>
      </c>
      <c r="AO95" s="562" t="str">
        <f t="shared" si="22"/>
        <v/>
      </c>
      <c r="AQ95" s="561">
        <f t="shared" si="19"/>
        <v>22</v>
      </c>
    </row>
    <row r="96" spans="1:43">
      <c r="A96" s="532"/>
      <c r="B96" s="137"/>
      <c r="C96" s="139"/>
      <c r="D96" s="57" t="s">
        <v>1839</v>
      </c>
      <c r="E96" s="567"/>
      <c r="F96" s="568"/>
      <c r="G96" s="67"/>
      <c r="H96" s="55"/>
      <c r="I96" s="55"/>
      <c r="J96" s="55"/>
      <c r="K96" s="494"/>
      <c r="L96" s="562">
        <f t="shared" ref="L96:U105" si="23">IF($D96=L$74,$G96,"")</f>
        <v>0</v>
      </c>
      <c r="M96" s="562" t="str">
        <f t="shared" si="23"/>
        <v/>
      </c>
      <c r="N96" s="562" t="str">
        <f t="shared" si="23"/>
        <v/>
      </c>
      <c r="O96" s="562" t="str">
        <f t="shared" si="23"/>
        <v/>
      </c>
      <c r="P96" s="562" t="str">
        <f t="shared" si="23"/>
        <v/>
      </c>
      <c r="Q96" s="562" t="str">
        <f t="shared" si="23"/>
        <v/>
      </c>
      <c r="R96" s="562" t="str">
        <f t="shared" si="23"/>
        <v/>
      </c>
      <c r="S96" s="562" t="str">
        <f t="shared" si="23"/>
        <v/>
      </c>
      <c r="T96" s="562" t="str">
        <f t="shared" si="23"/>
        <v/>
      </c>
      <c r="U96" s="562" t="str">
        <f t="shared" si="23"/>
        <v/>
      </c>
      <c r="V96" s="562" t="str">
        <f t="shared" ref="V96:AE105" si="24">IF($D96=V$74,$G96,"")</f>
        <v/>
      </c>
      <c r="W96" s="562" t="str">
        <f t="shared" si="24"/>
        <v/>
      </c>
      <c r="X96" s="562" t="str">
        <f t="shared" si="24"/>
        <v/>
      </c>
      <c r="Y96" s="562" t="str">
        <f t="shared" si="24"/>
        <v/>
      </c>
      <c r="Z96" s="562" t="str">
        <f t="shared" si="24"/>
        <v/>
      </c>
      <c r="AA96" s="562" t="str">
        <f t="shared" si="24"/>
        <v/>
      </c>
      <c r="AB96" s="562" t="str">
        <f t="shared" si="24"/>
        <v/>
      </c>
      <c r="AC96" s="562" t="str">
        <f t="shared" si="24"/>
        <v/>
      </c>
      <c r="AD96" s="562" t="str">
        <f t="shared" si="24"/>
        <v/>
      </c>
      <c r="AE96" s="562" t="str">
        <f t="shared" si="24"/>
        <v/>
      </c>
      <c r="AF96" s="562" t="str">
        <f t="shared" ref="AF96:AO105" si="25">IF($D96=AF$74,$G96,"")</f>
        <v/>
      </c>
      <c r="AG96" s="562" t="str">
        <f t="shared" si="25"/>
        <v/>
      </c>
      <c r="AH96" s="562" t="str">
        <f t="shared" si="25"/>
        <v/>
      </c>
      <c r="AI96" s="562" t="str">
        <f t="shared" si="25"/>
        <v/>
      </c>
      <c r="AJ96" s="562" t="str">
        <f t="shared" si="25"/>
        <v/>
      </c>
      <c r="AK96" s="562" t="str">
        <f t="shared" si="25"/>
        <v/>
      </c>
      <c r="AL96" s="562" t="str">
        <f t="shared" si="25"/>
        <v/>
      </c>
      <c r="AM96" s="562" t="str">
        <f t="shared" si="25"/>
        <v/>
      </c>
      <c r="AN96" s="562" t="str">
        <f t="shared" si="25"/>
        <v/>
      </c>
      <c r="AO96" s="562" t="str">
        <f t="shared" si="25"/>
        <v/>
      </c>
      <c r="AQ96" s="561">
        <f t="shared" si="19"/>
        <v>23</v>
      </c>
    </row>
    <row r="97" spans="1:43">
      <c r="A97" s="532"/>
      <c r="B97" s="137"/>
      <c r="C97" s="139"/>
      <c r="D97" s="57" t="s">
        <v>1839</v>
      </c>
      <c r="E97" s="567"/>
      <c r="F97" s="568"/>
      <c r="G97" s="67"/>
      <c r="H97" s="55"/>
      <c r="I97" s="55"/>
      <c r="J97" s="55"/>
      <c r="K97" s="494"/>
      <c r="L97" s="562">
        <f t="shared" si="23"/>
        <v>0</v>
      </c>
      <c r="M97" s="562" t="str">
        <f t="shared" si="23"/>
        <v/>
      </c>
      <c r="N97" s="562" t="str">
        <f t="shared" si="23"/>
        <v/>
      </c>
      <c r="O97" s="562" t="str">
        <f t="shared" si="23"/>
        <v/>
      </c>
      <c r="P97" s="562" t="str">
        <f t="shared" si="23"/>
        <v/>
      </c>
      <c r="Q97" s="562" t="str">
        <f t="shared" si="23"/>
        <v/>
      </c>
      <c r="R97" s="562" t="str">
        <f t="shared" si="23"/>
        <v/>
      </c>
      <c r="S97" s="562" t="str">
        <f t="shared" si="23"/>
        <v/>
      </c>
      <c r="T97" s="562" t="str">
        <f t="shared" si="23"/>
        <v/>
      </c>
      <c r="U97" s="562" t="str">
        <f t="shared" si="23"/>
        <v/>
      </c>
      <c r="V97" s="562" t="str">
        <f t="shared" si="24"/>
        <v/>
      </c>
      <c r="W97" s="562" t="str">
        <f t="shared" si="24"/>
        <v/>
      </c>
      <c r="X97" s="562" t="str">
        <f t="shared" si="24"/>
        <v/>
      </c>
      <c r="Y97" s="562" t="str">
        <f t="shared" si="24"/>
        <v/>
      </c>
      <c r="Z97" s="562" t="str">
        <f t="shared" si="24"/>
        <v/>
      </c>
      <c r="AA97" s="562" t="str">
        <f t="shared" si="24"/>
        <v/>
      </c>
      <c r="AB97" s="562" t="str">
        <f t="shared" si="24"/>
        <v/>
      </c>
      <c r="AC97" s="562" t="str">
        <f t="shared" si="24"/>
        <v/>
      </c>
      <c r="AD97" s="562" t="str">
        <f t="shared" si="24"/>
        <v/>
      </c>
      <c r="AE97" s="562" t="str">
        <f t="shared" si="24"/>
        <v/>
      </c>
      <c r="AF97" s="562" t="str">
        <f t="shared" si="25"/>
        <v/>
      </c>
      <c r="AG97" s="562" t="str">
        <f t="shared" si="25"/>
        <v/>
      </c>
      <c r="AH97" s="562" t="str">
        <f t="shared" si="25"/>
        <v/>
      </c>
      <c r="AI97" s="562" t="str">
        <f t="shared" si="25"/>
        <v/>
      </c>
      <c r="AJ97" s="562" t="str">
        <f t="shared" si="25"/>
        <v/>
      </c>
      <c r="AK97" s="562" t="str">
        <f t="shared" si="25"/>
        <v/>
      </c>
      <c r="AL97" s="562" t="str">
        <f t="shared" si="25"/>
        <v/>
      </c>
      <c r="AM97" s="562" t="str">
        <f t="shared" si="25"/>
        <v/>
      </c>
      <c r="AN97" s="562" t="str">
        <f t="shared" si="25"/>
        <v/>
      </c>
      <c r="AO97" s="562" t="str">
        <f t="shared" si="25"/>
        <v/>
      </c>
      <c r="AQ97" s="561">
        <f t="shared" si="19"/>
        <v>24</v>
      </c>
    </row>
    <row r="98" spans="1:43">
      <c r="A98" s="532"/>
      <c r="B98" s="137"/>
      <c r="C98" s="139"/>
      <c r="D98" s="57" t="s">
        <v>1839</v>
      </c>
      <c r="E98" s="567"/>
      <c r="F98" s="568"/>
      <c r="G98" s="67"/>
      <c r="H98" s="55"/>
      <c r="I98" s="55"/>
      <c r="J98" s="55"/>
      <c r="K98" s="494"/>
      <c r="L98" s="562">
        <f t="shared" si="23"/>
        <v>0</v>
      </c>
      <c r="M98" s="562" t="str">
        <f t="shared" si="23"/>
        <v/>
      </c>
      <c r="N98" s="562" t="str">
        <f t="shared" si="23"/>
        <v/>
      </c>
      <c r="O98" s="562" t="str">
        <f t="shared" si="23"/>
        <v/>
      </c>
      <c r="P98" s="562" t="str">
        <f t="shared" si="23"/>
        <v/>
      </c>
      <c r="Q98" s="562" t="str">
        <f t="shared" si="23"/>
        <v/>
      </c>
      <c r="R98" s="562" t="str">
        <f t="shared" si="23"/>
        <v/>
      </c>
      <c r="S98" s="562" t="str">
        <f t="shared" si="23"/>
        <v/>
      </c>
      <c r="T98" s="562" t="str">
        <f t="shared" si="23"/>
        <v/>
      </c>
      <c r="U98" s="562" t="str">
        <f t="shared" si="23"/>
        <v/>
      </c>
      <c r="V98" s="562" t="str">
        <f t="shared" si="24"/>
        <v/>
      </c>
      <c r="W98" s="562" t="str">
        <f t="shared" si="24"/>
        <v/>
      </c>
      <c r="X98" s="562" t="str">
        <f t="shared" si="24"/>
        <v/>
      </c>
      <c r="Y98" s="562" t="str">
        <f t="shared" si="24"/>
        <v/>
      </c>
      <c r="Z98" s="562" t="str">
        <f t="shared" si="24"/>
        <v/>
      </c>
      <c r="AA98" s="562" t="str">
        <f t="shared" si="24"/>
        <v/>
      </c>
      <c r="AB98" s="562" t="str">
        <f t="shared" si="24"/>
        <v/>
      </c>
      <c r="AC98" s="562" t="str">
        <f t="shared" si="24"/>
        <v/>
      </c>
      <c r="AD98" s="562" t="str">
        <f t="shared" si="24"/>
        <v/>
      </c>
      <c r="AE98" s="562" t="str">
        <f t="shared" si="24"/>
        <v/>
      </c>
      <c r="AF98" s="562" t="str">
        <f t="shared" si="25"/>
        <v/>
      </c>
      <c r="AG98" s="562" t="str">
        <f t="shared" si="25"/>
        <v/>
      </c>
      <c r="AH98" s="562" t="str">
        <f t="shared" si="25"/>
        <v/>
      </c>
      <c r="AI98" s="562" t="str">
        <f t="shared" si="25"/>
        <v/>
      </c>
      <c r="AJ98" s="562" t="str">
        <f t="shared" si="25"/>
        <v/>
      </c>
      <c r="AK98" s="562" t="str">
        <f t="shared" si="25"/>
        <v/>
      </c>
      <c r="AL98" s="562" t="str">
        <f t="shared" si="25"/>
        <v/>
      </c>
      <c r="AM98" s="562" t="str">
        <f t="shared" si="25"/>
        <v/>
      </c>
      <c r="AN98" s="562" t="str">
        <f t="shared" si="25"/>
        <v/>
      </c>
      <c r="AO98" s="562" t="str">
        <f t="shared" si="25"/>
        <v/>
      </c>
      <c r="AQ98" s="561">
        <f t="shared" si="19"/>
        <v>25</v>
      </c>
    </row>
    <row r="99" spans="1:43">
      <c r="A99" s="532"/>
      <c r="B99" s="137"/>
      <c r="C99" s="139"/>
      <c r="D99" s="57" t="s">
        <v>1839</v>
      </c>
      <c r="E99" s="567"/>
      <c r="F99" s="568"/>
      <c r="G99" s="67"/>
      <c r="H99" s="55"/>
      <c r="I99" s="55"/>
      <c r="J99" s="55"/>
      <c r="K99" s="494"/>
      <c r="L99" s="562">
        <f t="shared" si="23"/>
        <v>0</v>
      </c>
      <c r="M99" s="562" t="str">
        <f t="shared" si="23"/>
        <v/>
      </c>
      <c r="N99" s="562" t="str">
        <f t="shared" si="23"/>
        <v/>
      </c>
      <c r="O99" s="562" t="str">
        <f t="shared" si="23"/>
        <v/>
      </c>
      <c r="P99" s="562" t="str">
        <f t="shared" si="23"/>
        <v/>
      </c>
      <c r="Q99" s="562" t="str">
        <f t="shared" si="23"/>
        <v/>
      </c>
      <c r="R99" s="562" t="str">
        <f t="shared" si="23"/>
        <v/>
      </c>
      <c r="S99" s="562" t="str">
        <f t="shared" si="23"/>
        <v/>
      </c>
      <c r="T99" s="562" t="str">
        <f t="shared" si="23"/>
        <v/>
      </c>
      <c r="U99" s="562" t="str">
        <f t="shared" si="23"/>
        <v/>
      </c>
      <c r="V99" s="562" t="str">
        <f t="shared" si="24"/>
        <v/>
      </c>
      <c r="W99" s="562" t="str">
        <f t="shared" si="24"/>
        <v/>
      </c>
      <c r="X99" s="562" t="str">
        <f t="shared" si="24"/>
        <v/>
      </c>
      <c r="Y99" s="562" t="str">
        <f t="shared" si="24"/>
        <v/>
      </c>
      <c r="Z99" s="562" t="str">
        <f t="shared" si="24"/>
        <v/>
      </c>
      <c r="AA99" s="562" t="str">
        <f t="shared" si="24"/>
        <v/>
      </c>
      <c r="AB99" s="562" t="str">
        <f t="shared" si="24"/>
        <v/>
      </c>
      <c r="AC99" s="562" t="str">
        <f t="shared" si="24"/>
        <v/>
      </c>
      <c r="AD99" s="562" t="str">
        <f t="shared" si="24"/>
        <v/>
      </c>
      <c r="AE99" s="562" t="str">
        <f t="shared" si="24"/>
        <v/>
      </c>
      <c r="AF99" s="562" t="str">
        <f t="shared" si="25"/>
        <v/>
      </c>
      <c r="AG99" s="562" t="str">
        <f t="shared" si="25"/>
        <v/>
      </c>
      <c r="AH99" s="562" t="str">
        <f t="shared" si="25"/>
        <v/>
      </c>
      <c r="AI99" s="562" t="str">
        <f t="shared" si="25"/>
        <v/>
      </c>
      <c r="AJ99" s="562" t="str">
        <f t="shared" si="25"/>
        <v/>
      </c>
      <c r="AK99" s="562" t="str">
        <f t="shared" si="25"/>
        <v/>
      </c>
      <c r="AL99" s="562" t="str">
        <f t="shared" si="25"/>
        <v/>
      </c>
      <c r="AM99" s="562" t="str">
        <f t="shared" si="25"/>
        <v/>
      </c>
      <c r="AN99" s="562" t="str">
        <f t="shared" si="25"/>
        <v/>
      </c>
      <c r="AO99" s="562" t="str">
        <f t="shared" si="25"/>
        <v/>
      </c>
      <c r="AQ99" s="561">
        <f t="shared" si="19"/>
        <v>26</v>
      </c>
    </row>
    <row r="100" spans="1:43">
      <c r="A100" s="532"/>
      <c r="B100" s="137"/>
      <c r="C100" s="139"/>
      <c r="D100" s="57" t="s">
        <v>1839</v>
      </c>
      <c r="E100" s="567"/>
      <c r="F100" s="568"/>
      <c r="G100" s="67"/>
      <c r="H100" s="55"/>
      <c r="I100" s="55"/>
      <c r="J100" s="55"/>
      <c r="K100" s="494"/>
      <c r="L100" s="562">
        <f t="shared" si="23"/>
        <v>0</v>
      </c>
      <c r="M100" s="562" t="str">
        <f t="shared" si="23"/>
        <v/>
      </c>
      <c r="N100" s="562" t="str">
        <f t="shared" si="23"/>
        <v/>
      </c>
      <c r="O100" s="562" t="str">
        <f t="shared" si="23"/>
        <v/>
      </c>
      <c r="P100" s="562" t="str">
        <f t="shared" si="23"/>
        <v/>
      </c>
      <c r="Q100" s="562" t="str">
        <f t="shared" si="23"/>
        <v/>
      </c>
      <c r="R100" s="562" t="str">
        <f t="shared" si="23"/>
        <v/>
      </c>
      <c r="S100" s="562" t="str">
        <f t="shared" si="23"/>
        <v/>
      </c>
      <c r="T100" s="562" t="str">
        <f t="shared" si="23"/>
        <v/>
      </c>
      <c r="U100" s="562" t="str">
        <f t="shared" si="23"/>
        <v/>
      </c>
      <c r="V100" s="562" t="str">
        <f t="shared" si="24"/>
        <v/>
      </c>
      <c r="W100" s="562" t="str">
        <f t="shared" si="24"/>
        <v/>
      </c>
      <c r="X100" s="562" t="str">
        <f t="shared" si="24"/>
        <v/>
      </c>
      <c r="Y100" s="562" t="str">
        <f t="shared" si="24"/>
        <v/>
      </c>
      <c r="Z100" s="562" t="str">
        <f t="shared" si="24"/>
        <v/>
      </c>
      <c r="AA100" s="562" t="str">
        <f t="shared" si="24"/>
        <v/>
      </c>
      <c r="AB100" s="562" t="str">
        <f t="shared" si="24"/>
        <v/>
      </c>
      <c r="AC100" s="562" t="str">
        <f t="shared" si="24"/>
        <v/>
      </c>
      <c r="AD100" s="562" t="str">
        <f t="shared" si="24"/>
        <v/>
      </c>
      <c r="AE100" s="562" t="str">
        <f t="shared" si="24"/>
        <v/>
      </c>
      <c r="AF100" s="562" t="str">
        <f t="shared" si="25"/>
        <v/>
      </c>
      <c r="AG100" s="562" t="str">
        <f t="shared" si="25"/>
        <v/>
      </c>
      <c r="AH100" s="562" t="str">
        <f t="shared" si="25"/>
        <v/>
      </c>
      <c r="AI100" s="562" t="str">
        <f t="shared" si="25"/>
        <v/>
      </c>
      <c r="AJ100" s="562" t="str">
        <f t="shared" si="25"/>
        <v/>
      </c>
      <c r="AK100" s="562" t="str">
        <f t="shared" si="25"/>
        <v/>
      </c>
      <c r="AL100" s="562" t="str">
        <f t="shared" si="25"/>
        <v/>
      </c>
      <c r="AM100" s="562" t="str">
        <f t="shared" si="25"/>
        <v/>
      </c>
      <c r="AN100" s="562" t="str">
        <f t="shared" si="25"/>
        <v/>
      </c>
      <c r="AO100" s="562" t="str">
        <f t="shared" si="25"/>
        <v/>
      </c>
      <c r="AQ100" s="561">
        <f t="shared" si="19"/>
        <v>27</v>
      </c>
    </row>
    <row r="101" spans="1:43">
      <c r="A101" s="532"/>
      <c r="B101" s="137"/>
      <c r="C101" s="139"/>
      <c r="D101" s="57" t="s">
        <v>1839</v>
      </c>
      <c r="E101" s="567"/>
      <c r="F101" s="568"/>
      <c r="G101" s="67"/>
      <c r="H101" s="55"/>
      <c r="I101" s="55"/>
      <c r="J101" s="55"/>
      <c r="K101" s="494"/>
      <c r="L101" s="562">
        <f t="shared" si="23"/>
        <v>0</v>
      </c>
      <c r="M101" s="562" t="str">
        <f t="shared" si="23"/>
        <v/>
      </c>
      <c r="N101" s="562" t="str">
        <f t="shared" si="23"/>
        <v/>
      </c>
      <c r="O101" s="562" t="str">
        <f t="shared" si="23"/>
        <v/>
      </c>
      <c r="P101" s="562" t="str">
        <f t="shared" si="23"/>
        <v/>
      </c>
      <c r="Q101" s="562" t="str">
        <f t="shared" si="23"/>
        <v/>
      </c>
      <c r="R101" s="562" t="str">
        <f t="shared" si="23"/>
        <v/>
      </c>
      <c r="S101" s="562" t="str">
        <f t="shared" si="23"/>
        <v/>
      </c>
      <c r="T101" s="562" t="str">
        <f t="shared" si="23"/>
        <v/>
      </c>
      <c r="U101" s="562" t="str">
        <f t="shared" si="23"/>
        <v/>
      </c>
      <c r="V101" s="562" t="str">
        <f t="shared" si="24"/>
        <v/>
      </c>
      <c r="W101" s="562" t="str">
        <f t="shared" si="24"/>
        <v/>
      </c>
      <c r="X101" s="562" t="str">
        <f t="shared" si="24"/>
        <v/>
      </c>
      <c r="Y101" s="562" t="str">
        <f t="shared" si="24"/>
        <v/>
      </c>
      <c r="Z101" s="562" t="str">
        <f t="shared" si="24"/>
        <v/>
      </c>
      <c r="AA101" s="562" t="str">
        <f t="shared" si="24"/>
        <v/>
      </c>
      <c r="AB101" s="562" t="str">
        <f t="shared" si="24"/>
        <v/>
      </c>
      <c r="AC101" s="562" t="str">
        <f t="shared" si="24"/>
        <v/>
      </c>
      <c r="AD101" s="562" t="str">
        <f t="shared" si="24"/>
        <v/>
      </c>
      <c r="AE101" s="562" t="str">
        <f t="shared" si="24"/>
        <v/>
      </c>
      <c r="AF101" s="562" t="str">
        <f t="shared" si="25"/>
        <v/>
      </c>
      <c r="AG101" s="562" t="str">
        <f t="shared" si="25"/>
        <v/>
      </c>
      <c r="AH101" s="562" t="str">
        <f t="shared" si="25"/>
        <v/>
      </c>
      <c r="AI101" s="562" t="str">
        <f t="shared" si="25"/>
        <v/>
      </c>
      <c r="AJ101" s="562" t="str">
        <f t="shared" si="25"/>
        <v/>
      </c>
      <c r="AK101" s="562" t="str">
        <f t="shared" si="25"/>
        <v/>
      </c>
      <c r="AL101" s="562" t="str">
        <f t="shared" si="25"/>
        <v/>
      </c>
      <c r="AM101" s="562" t="str">
        <f t="shared" si="25"/>
        <v/>
      </c>
      <c r="AN101" s="562" t="str">
        <f t="shared" si="25"/>
        <v/>
      </c>
      <c r="AO101" s="562" t="str">
        <f t="shared" si="25"/>
        <v/>
      </c>
      <c r="AQ101" s="561">
        <f t="shared" si="19"/>
        <v>28</v>
      </c>
    </row>
    <row r="102" spans="1:43">
      <c r="A102" s="532"/>
      <c r="B102" s="137"/>
      <c r="C102" s="139"/>
      <c r="D102" s="57" t="s">
        <v>1839</v>
      </c>
      <c r="E102" s="567"/>
      <c r="F102" s="568"/>
      <c r="G102" s="67"/>
      <c r="H102" s="55"/>
      <c r="I102" s="55"/>
      <c r="J102" s="55"/>
      <c r="K102" s="494"/>
      <c r="L102" s="562">
        <f t="shared" si="23"/>
        <v>0</v>
      </c>
      <c r="M102" s="562" t="str">
        <f t="shared" si="23"/>
        <v/>
      </c>
      <c r="N102" s="562" t="str">
        <f t="shared" si="23"/>
        <v/>
      </c>
      <c r="O102" s="562" t="str">
        <f t="shared" si="23"/>
        <v/>
      </c>
      <c r="P102" s="562" t="str">
        <f t="shared" si="23"/>
        <v/>
      </c>
      <c r="Q102" s="562" t="str">
        <f t="shared" si="23"/>
        <v/>
      </c>
      <c r="R102" s="562" t="str">
        <f t="shared" si="23"/>
        <v/>
      </c>
      <c r="S102" s="562" t="str">
        <f t="shared" si="23"/>
        <v/>
      </c>
      <c r="T102" s="562" t="str">
        <f t="shared" si="23"/>
        <v/>
      </c>
      <c r="U102" s="562" t="str">
        <f t="shared" si="23"/>
        <v/>
      </c>
      <c r="V102" s="562" t="str">
        <f t="shared" si="24"/>
        <v/>
      </c>
      <c r="W102" s="562" t="str">
        <f t="shared" si="24"/>
        <v/>
      </c>
      <c r="X102" s="562" t="str">
        <f t="shared" si="24"/>
        <v/>
      </c>
      <c r="Y102" s="562" t="str">
        <f t="shared" si="24"/>
        <v/>
      </c>
      <c r="Z102" s="562" t="str">
        <f t="shared" si="24"/>
        <v/>
      </c>
      <c r="AA102" s="562" t="str">
        <f t="shared" si="24"/>
        <v/>
      </c>
      <c r="AB102" s="562" t="str">
        <f t="shared" si="24"/>
        <v/>
      </c>
      <c r="AC102" s="562" t="str">
        <f t="shared" si="24"/>
        <v/>
      </c>
      <c r="AD102" s="562" t="str">
        <f t="shared" si="24"/>
        <v/>
      </c>
      <c r="AE102" s="562" t="str">
        <f t="shared" si="24"/>
        <v/>
      </c>
      <c r="AF102" s="562" t="str">
        <f t="shared" si="25"/>
        <v/>
      </c>
      <c r="AG102" s="562" t="str">
        <f t="shared" si="25"/>
        <v/>
      </c>
      <c r="AH102" s="562" t="str">
        <f t="shared" si="25"/>
        <v/>
      </c>
      <c r="AI102" s="562" t="str">
        <f t="shared" si="25"/>
        <v/>
      </c>
      <c r="AJ102" s="562" t="str">
        <f t="shared" si="25"/>
        <v/>
      </c>
      <c r="AK102" s="562" t="str">
        <f t="shared" si="25"/>
        <v/>
      </c>
      <c r="AL102" s="562" t="str">
        <f t="shared" si="25"/>
        <v/>
      </c>
      <c r="AM102" s="562" t="str">
        <f t="shared" si="25"/>
        <v/>
      </c>
      <c r="AN102" s="562" t="str">
        <f t="shared" si="25"/>
        <v/>
      </c>
      <c r="AO102" s="562" t="str">
        <f t="shared" si="25"/>
        <v/>
      </c>
      <c r="AQ102" s="561">
        <f t="shared" si="19"/>
        <v>29</v>
      </c>
    </row>
    <row r="103" spans="1:43">
      <c r="A103" s="532"/>
      <c r="B103" s="137"/>
      <c r="C103" s="139"/>
      <c r="D103" s="57" t="s">
        <v>1839</v>
      </c>
      <c r="E103" s="567"/>
      <c r="F103" s="568"/>
      <c r="G103" s="67"/>
      <c r="H103" s="55"/>
      <c r="I103" s="55"/>
      <c r="J103" s="55"/>
      <c r="K103" s="494"/>
      <c r="L103" s="562">
        <f t="shared" si="23"/>
        <v>0</v>
      </c>
      <c r="M103" s="562" t="str">
        <f t="shared" si="23"/>
        <v/>
      </c>
      <c r="N103" s="562" t="str">
        <f t="shared" si="23"/>
        <v/>
      </c>
      <c r="O103" s="562" t="str">
        <f t="shared" si="23"/>
        <v/>
      </c>
      <c r="P103" s="562" t="str">
        <f t="shared" si="23"/>
        <v/>
      </c>
      <c r="Q103" s="562" t="str">
        <f t="shared" si="23"/>
        <v/>
      </c>
      <c r="R103" s="562" t="str">
        <f t="shared" si="23"/>
        <v/>
      </c>
      <c r="S103" s="562" t="str">
        <f t="shared" si="23"/>
        <v/>
      </c>
      <c r="T103" s="562" t="str">
        <f t="shared" si="23"/>
        <v/>
      </c>
      <c r="U103" s="562" t="str">
        <f t="shared" si="23"/>
        <v/>
      </c>
      <c r="V103" s="562" t="str">
        <f t="shared" si="24"/>
        <v/>
      </c>
      <c r="W103" s="562" t="str">
        <f t="shared" si="24"/>
        <v/>
      </c>
      <c r="X103" s="562" t="str">
        <f t="shared" si="24"/>
        <v/>
      </c>
      <c r="Y103" s="562" t="str">
        <f t="shared" si="24"/>
        <v/>
      </c>
      <c r="Z103" s="562" t="str">
        <f t="shared" si="24"/>
        <v/>
      </c>
      <c r="AA103" s="562" t="str">
        <f t="shared" si="24"/>
        <v/>
      </c>
      <c r="AB103" s="562" t="str">
        <f t="shared" si="24"/>
        <v/>
      </c>
      <c r="AC103" s="562" t="str">
        <f t="shared" si="24"/>
        <v/>
      </c>
      <c r="AD103" s="562" t="str">
        <f t="shared" si="24"/>
        <v/>
      </c>
      <c r="AE103" s="562" t="str">
        <f t="shared" si="24"/>
        <v/>
      </c>
      <c r="AF103" s="562" t="str">
        <f t="shared" si="25"/>
        <v/>
      </c>
      <c r="AG103" s="562" t="str">
        <f t="shared" si="25"/>
        <v/>
      </c>
      <c r="AH103" s="562" t="str">
        <f t="shared" si="25"/>
        <v/>
      </c>
      <c r="AI103" s="562" t="str">
        <f t="shared" si="25"/>
        <v/>
      </c>
      <c r="AJ103" s="562" t="str">
        <f t="shared" si="25"/>
        <v/>
      </c>
      <c r="AK103" s="562" t="str">
        <f t="shared" si="25"/>
        <v/>
      </c>
      <c r="AL103" s="562" t="str">
        <f t="shared" si="25"/>
        <v/>
      </c>
      <c r="AM103" s="562" t="str">
        <f t="shared" si="25"/>
        <v/>
      </c>
      <c r="AN103" s="562" t="str">
        <f t="shared" si="25"/>
        <v/>
      </c>
      <c r="AO103" s="562" t="str">
        <f t="shared" si="25"/>
        <v/>
      </c>
      <c r="AQ103" s="561">
        <f t="shared" si="19"/>
        <v>30</v>
      </c>
    </row>
    <row r="104" spans="1:43">
      <c r="A104" s="532"/>
      <c r="B104" s="137"/>
      <c r="C104" s="139"/>
      <c r="D104" s="57" t="s">
        <v>1839</v>
      </c>
      <c r="E104" s="567"/>
      <c r="F104" s="568"/>
      <c r="G104" s="67"/>
      <c r="H104" s="55"/>
      <c r="I104" s="55"/>
      <c r="J104" s="55"/>
      <c r="K104" s="494"/>
      <c r="L104" s="562">
        <f t="shared" si="23"/>
        <v>0</v>
      </c>
      <c r="M104" s="562" t="str">
        <f t="shared" si="23"/>
        <v/>
      </c>
      <c r="N104" s="562" t="str">
        <f t="shared" si="23"/>
        <v/>
      </c>
      <c r="O104" s="562" t="str">
        <f t="shared" si="23"/>
        <v/>
      </c>
      <c r="P104" s="562" t="str">
        <f t="shared" si="23"/>
        <v/>
      </c>
      <c r="Q104" s="562" t="str">
        <f t="shared" si="23"/>
        <v/>
      </c>
      <c r="R104" s="562" t="str">
        <f t="shared" si="23"/>
        <v/>
      </c>
      <c r="S104" s="562" t="str">
        <f t="shared" si="23"/>
        <v/>
      </c>
      <c r="T104" s="562" t="str">
        <f t="shared" si="23"/>
        <v/>
      </c>
      <c r="U104" s="562" t="str">
        <f t="shared" si="23"/>
        <v/>
      </c>
      <c r="V104" s="562" t="str">
        <f t="shared" si="24"/>
        <v/>
      </c>
      <c r="W104" s="562" t="str">
        <f t="shared" si="24"/>
        <v/>
      </c>
      <c r="X104" s="562" t="str">
        <f t="shared" si="24"/>
        <v/>
      </c>
      <c r="Y104" s="562" t="str">
        <f t="shared" si="24"/>
        <v/>
      </c>
      <c r="Z104" s="562" t="str">
        <f t="shared" si="24"/>
        <v/>
      </c>
      <c r="AA104" s="562" t="str">
        <f t="shared" si="24"/>
        <v/>
      </c>
      <c r="AB104" s="562" t="str">
        <f t="shared" si="24"/>
        <v/>
      </c>
      <c r="AC104" s="562" t="str">
        <f t="shared" si="24"/>
        <v/>
      </c>
      <c r="AD104" s="562" t="str">
        <f t="shared" si="24"/>
        <v/>
      </c>
      <c r="AE104" s="562" t="str">
        <f t="shared" si="24"/>
        <v/>
      </c>
      <c r="AF104" s="562" t="str">
        <f t="shared" si="25"/>
        <v/>
      </c>
      <c r="AG104" s="562" t="str">
        <f t="shared" si="25"/>
        <v/>
      </c>
      <c r="AH104" s="562" t="str">
        <f t="shared" si="25"/>
        <v/>
      </c>
      <c r="AI104" s="562" t="str">
        <f t="shared" si="25"/>
        <v/>
      </c>
      <c r="AJ104" s="562" t="str">
        <f t="shared" si="25"/>
        <v/>
      </c>
      <c r="AK104" s="562" t="str">
        <f t="shared" si="25"/>
        <v/>
      </c>
      <c r="AL104" s="562" t="str">
        <f t="shared" si="25"/>
        <v/>
      </c>
      <c r="AM104" s="562" t="str">
        <f t="shared" si="25"/>
        <v/>
      </c>
      <c r="AN104" s="562" t="str">
        <f t="shared" si="25"/>
        <v/>
      </c>
      <c r="AO104" s="562" t="str">
        <f t="shared" si="25"/>
        <v/>
      </c>
      <c r="AQ104" s="561">
        <f t="shared" si="19"/>
        <v>31</v>
      </c>
    </row>
    <row r="105" spans="1:43">
      <c r="A105" s="532"/>
      <c r="B105" s="137"/>
      <c r="C105" s="139"/>
      <c r="D105" s="57" t="s">
        <v>1839</v>
      </c>
      <c r="E105" s="567"/>
      <c r="F105" s="568"/>
      <c r="G105" s="67"/>
      <c r="H105" s="55"/>
      <c r="I105" s="55"/>
      <c r="J105" s="55"/>
      <c r="K105" s="494"/>
      <c r="L105" s="562">
        <f t="shared" si="23"/>
        <v>0</v>
      </c>
      <c r="M105" s="562" t="str">
        <f t="shared" si="23"/>
        <v/>
      </c>
      <c r="N105" s="562" t="str">
        <f t="shared" si="23"/>
        <v/>
      </c>
      <c r="O105" s="562" t="str">
        <f t="shared" si="23"/>
        <v/>
      </c>
      <c r="P105" s="562" t="str">
        <f t="shared" si="23"/>
        <v/>
      </c>
      <c r="Q105" s="562" t="str">
        <f t="shared" si="23"/>
        <v/>
      </c>
      <c r="R105" s="562" t="str">
        <f t="shared" si="23"/>
        <v/>
      </c>
      <c r="S105" s="562" t="str">
        <f t="shared" si="23"/>
        <v/>
      </c>
      <c r="T105" s="562" t="str">
        <f t="shared" si="23"/>
        <v/>
      </c>
      <c r="U105" s="562" t="str">
        <f t="shared" si="23"/>
        <v/>
      </c>
      <c r="V105" s="562" t="str">
        <f t="shared" si="24"/>
        <v/>
      </c>
      <c r="W105" s="562" t="str">
        <f t="shared" si="24"/>
        <v/>
      </c>
      <c r="X105" s="562" t="str">
        <f t="shared" si="24"/>
        <v/>
      </c>
      <c r="Y105" s="562" t="str">
        <f t="shared" si="24"/>
        <v/>
      </c>
      <c r="Z105" s="562" t="str">
        <f t="shared" si="24"/>
        <v/>
      </c>
      <c r="AA105" s="562" t="str">
        <f t="shared" si="24"/>
        <v/>
      </c>
      <c r="AB105" s="562" t="str">
        <f t="shared" si="24"/>
        <v/>
      </c>
      <c r="AC105" s="562" t="str">
        <f t="shared" si="24"/>
        <v/>
      </c>
      <c r="AD105" s="562" t="str">
        <f t="shared" si="24"/>
        <v/>
      </c>
      <c r="AE105" s="562" t="str">
        <f t="shared" si="24"/>
        <v/>
      </c>
      <c r="AF105" s="562" t="str">
        <f t="shared" si="25"/>
        <v/>
      </c>
      <c r="AG105" s="562" t="str">
        <f t="shared" si="25"/>
        <v/>
      </c>
      <c r="AH105" s="562" t="str">
        <f t="shared" si="25"/>
        <v/>
      </c>
      <c r="AI105" s="562" t="str">
        <f t="shared" si="25"/>
        <v/>
      </c>
      <c r="AJ105" s="562" t="str">
        <f t="shared" si="25"/>
        <v/>
      </c>
      <c r="AK105" s="562" t="str">
        <f t="shared" si="25"/>
        <v/>
      </c>
      <c r="AL105" s="562" t="str">
        <f t="shared" si="25"/>
        <v/>
      </c>
      <c r="AM105" s="562" t="str">
        <f t="shared" si="25"/>
        <v/>
      </c>
      <c r="AN105" s="562" t="str">
        <f t="shared" si="25"/>
        <v/>
      </c>
      <c r="AO105" s="562" t="str">
        <f t="shared" si="25"/>
        <v/>
      </c>
      <c r="AQ105" s="561">
        <f t="shared" si="19"/>
        <v>32</v>
      </c>
    </row>
    <row r="106" spans="1:43" ht="18" customHeight="1">
      <c r="A106" s="538"/>
      <c r="B106" s="539"/>
      <c r="C106" s="539"/>
      <c r="E106" s="494"/>
      <c r="F106" s="494"/>
      <c r="G106" s="563"/>
      <c r="H106" s="546"/>
      <c r="I106" s="546"/>
      <c r="J106" s="512"/>
      <c r="K106" s="494"/>
      <c r="L106" s="494"/>
      <c r="M106" s="494"/>
      <c r="AQ106" s="561">
        <f t="shared" si="19"/>
        <v>33</v>
      </c>
    </row>
    <row r="107" spans="1:43" ht="16.350000000000001" customHeight="1">
      <c r="B107" s="496"/>
      <c r="C107" s="526"/>
      <c r="E107" s="494"/>
      <c r="F107" s="494"/>
      <c r="G107" s="564">
        <f>SUM(G75:G106)</f>
        <v>0</v>
      </c>
      <c r="H107" s="565">
        <f>SUM(H76:H106)</f>
        <v>0</v>
      </c>
      <c r="I107" s="514">
        <f>SUM(I76:I106)</f>
        <v>0</v>
      </c>
      <c r="J107" s="514">
        <f>SUM(J76:J106)</f>
        <v>0</v>
      </c>
      <c r="K107" s="494"/>
      <c r="L107" s="493">
        <f t="shared" ref="L107:AO107" si="26">SUM(L76:L106)</f>
        <v>0</v>
      </c>
      <c r="M107" s="493">
        <f t="shared" si="26"/>
        <v>0</v>
      </c>
      <c r="N107" s="493">
        <f t="shared" si="26"/>
        <v>0</v>
      </c>
      <c r="O107" s="493">
        <f t="shared" si="26"/>
        <v>0</v>
      </c>
      <c r="P107" s="493">
        <f t="shared" si="26"/>
        <v>0</v>
      </c>
      <c r="Q107" s="493">
        <f t="shared" si="26"/>
        <v>0</v>
      </c>
      <c r="R107" s="493">
        <f t="shared" si="26"/>
        <v>0</v>
      </c>
      <c r="S107" s="493">
        <f t="shared" si="26"/>
        <v>0</v>
      </c>
      <c r="T107" s="493">
        <f t="shared" si="26"/>
        <v>0</v>
      </c>
      <c r="U107" s="493">
        <f t="shared" si="26"/>
        <v>0</v>
      </c>
      <c r="V107" s="493">
        <f t="shared" si="26"/>
        <v>0</v>
      </c>
      <c r="W107" s="493">
        <f t="shared" si="26"/>
        <v>0</v>
      </c>
      <c r="X107" s="493">
        <f t="shared" si="26"/>
        <v>0</v>
      </c>
      <c r="Y107" s="493">
        <f t="shared" si="26"/>
        <v>0</v>
      </c>
      <c r="Z107" s="493">
        <f t="shared" si="26"/>
        <v>0</v>
      </c>
      <c r="AA107" s="493">
        <f t="shared" si="26"/>
        <v>0</v>
      </c>
      <c r="AB107" s="493">
        <f t="shared" si="26"/>
        <v>0</v>
      </c>
      <c r="AC107" s="493">
        <f t="shared" si="26"/>
        <v>0</v>
      </c>
      <c r="AD107" s="493">
        <f t="shared" si="26"/>
        <v>0</v>
      </c>
      <c r="AE107" s="493">
        <f t="shared" si="26"/>
        <v>0</v>
      </c>
      <c r="AF107" s="493">
        <f t="shared" si="26"/>
        <v>0</v>
      </c>
      <c r="AG107" s="493">
        <f t="shared" si="26"/>
        <v>0</v>
      </c>
      <c r="AH107" s="493">
        <f t="shared" si="26"/>
        <v>0</v>
      </c>
      <c r="AI107" s="493">
        <f t="shared" si="26"/>
        <v>0</v>
      </c>
      <c r="AJ107" s="493">
        <f t="shared" si="26"/>
        <v>0</v>
      </c>
      <c r="AK107" s="493">
        <f t="shared" si="26"/>
        <v>0</v>
      </c>
      <c r="AL107" s="493">
        <f t="shared" si="26"/>
        <v>0</v>
      </c>
      <c r="AM107" s="493">
        <f t="shared" si="26"/>
        <v>0</v>
      </c>
      <c r="AN107" s="493">
        <f t="shared" si="26"/>
        <v>0</v>
      </c>
      <c r="AO107" s="493">
        <f t="shared" si="26"/>
        <v>0</v>
      </c>
      <c r="AQ107" s="561">
        <f t="shared" si="19"/>
        <v>34</v>
      </c>
    </row>
    <row r="108" spans="1:43" ht="18" customHeight="1">
      <c r="B108" s="496"/>
      <c r="C108" s="526"/>
      <c r="D108" s="530"/>
      <c r="E108" s="530"/>
      <c r="F108" s="530"/>
      <c r="G108" s="505" t="s">
        <v>1844</v>
      </c>
      <c r="H108" s="135" t="s">
        <v>1845</v>
      </c>
      <c r="I108" s="135" t="s">
        <v>1845</v>
      </c>
      <c r="J108" s="135" t="s">
        <v>1845</v>
      </c>
      <c r="K108" s="505" t="str">
        <f>J69</f>
        <v>TOV#</v>
      </c>
      <c r="L108" s="134" t="s">
        <v>1846</v>
      </c>
      <c r="M108" s="134" t="s">
        <v>1846</v>
      </c>
      <c r="N108" s="134" t="s">
        <v>1846</v>
      </c>
      <c r="O108" s="134" t="s">
        <v>1846</v>
      </c>
      <c r="P108" s="134" t="s">
        <v>1846</v>
      </c>
      <c r="Q108" s="134" t="s">
        <v>1846</v>
      </c>
      <c r="R108" s="134" t="s">
        <v>1846</v>
      </c>
      <c r="S108" s="134" t="s">
        <v>1846</v>
      </c>
      <c r="T108" s="134" t="s">
        <v>1846</v>
      </c>
      <c r="U108" s="134" t="s">
        <v>1846</v>
      </c>
      <c r="V108" s="134" t="s">
        <v>1846</v>
      </c>
      <c r="W108" s="134" t="s">
        <v>1846</v>
      </c>
      <c r="X108" s="134" t="s">
        <v>1846</v>
      </c>
      <c r="Y108" s="134" t="s">
        <v>1846</v>
      </c>
      <c r="Z108" s="134" t="s">
        <v>1846</v>
      </c>
      <c r="AA108" s="134" t="s">
        <v>1846</v>
      </c>
      <c r="AB108" s="134" t="s">
        <v>1846</v>
      </c>
      <c r="AC108" s="134" t="s">
        <v>1846</v>
      </c>
      <c r="AD108" s="134" t="s">
        <v>1846</v>
      </c>
      <c r="AE108" s="134" t="s">
        <v>1846</v>
      </c>
      <c r="AF108" s="134" t="s">
        <v>1846</v>
      </c>
      <c r="AG108" s="134" t="s">
        <v>1846</v>
      </c>
      <c r="AH108" s="134" t="s">
        <v>1846</v>
      </c>
      <c r="AI108" s="134" t="s">
        <v>1846</v>
      </c>
      <c r="AJ108" s="134" t="s">
        <v>1846</v>
      </c>
      <c r="AK108" s="134" t="s">
        <v>1846</v>
      </c>
      <c r="AL108" s="134" t="s">
        <v>1846</v>
      </c>
      <c r="AM108" s="134" t="s">
        <v>1846</v>
      </c>
      <c r="AN108" s="134" t="s">
        <v>1846</v>
      </c>
      <c r="AO108" s="134" t="s">
        <v>1846</v>
      </c>
    </row>
    <row r="109" spans="1:43" ht="16.350000000000001" customHeight="1">
      <c r="G109" s="505" t="s">
        <v>1847</v>
      </c>
      <c r="H109" s="403">
        <f>pasture</f>
        <v>1655.5</v>
      </c>
      <c r="I109" s="361">
        <f>native</f>
        <v>4196.5</v>
      </c>
      <c r="J109" s="361">
        <f>arid</f>
        <v>0</v>
      </c>
      <c r="K109" s="505" t="str">
        <f t="shared" ref="K109:K110" si="27">J70</f>
        <v>Rate</v>
      </c>
      <c r="L109" s="403">
        <f>VLOOKUP(L74,Camps_subs_values,Subrates!$D$1,FALSE)</f>
        <v>47320.377613144541</v>
      </c>
      <c r="M109" s="403">
        <f>VLOOKUP(M74,Camps_subs_values,Subrates!$D$1,FALSE)</f>
        <v>67060.953373480428</v>
      </c>
      <c r="N109" s="403">
        <f>VLOOKUP(N74,Camps_subs_values,Subrates!$D$1,FALSE)</f>
        <v>97279.858524104726</v>
      </c>
      <c r="O109" s="403">
        <f>VLOOKUP(O74,Camps_subs_values,Subrates!$D$1,FALSE)</f>
        <v>141606.76525251291</v>
      </c>
      <c r="P109" s="403">
        <f>VLOOKUP(P74,Camps_subs_values,Subrates!$D$1,FALSE)</f>
        <v>172481.68182070667</v>
      </c>
      <c r="Q109" s="403">
        <f>VLOOKUP(Q74,Camps_subs_values,Subrates!$D$1,FALSE)</f>
        <v>238886.62377661766</v>
      </c>
      <c r="R109" s="403">
        <f>VLOOKUP(R74,Camps_subs_values,Subrates!$D$1,FALSE)</f>
        <v>268672.60337203619</v>
      </c>
      <c r="S109" s="403">
        <f>VLOOKUP(S74,Camps_subs_values,Subrates!$D$1,FALSE)</f>
        <v>331078.27884808701</v>
      </c>
      <c r="T109" s="403">
        <f>VLOOKUP(T74,Camps_subs_values,Subrates!$D$1,FALSE)</f>
        <v>427269.20039941656</v>
      </c>
      <c r="U109" s="403">
        <f>VLOOKUP(U74,Camps_subs_values,Subrates!$D$1,FALSE)</f>
        <v>618133.9419885003</v>
      </c>
      <c r="V109" s="403">
        <f>VLOOKUP(V74,Camps_subs_values,Subrates!$D$1,FALSE)</f>
        <v>806868.06993022817</v>
      </c>
      <c r="W109" s="403">
        <f>VLOOKUP(W74,Camps_subs_values,Subrates!$D$1,FALSE)</f>
        <v>1600588.4407209763</v>
      </c>
      <c r="X109" s="403">
        <f>VLOOKUP(X74,Camps_subs_values,Subrates!$D$1,FALSE)</f>
        <v>2393571.4258578783</v>
      </c>
      <c r="Y109" s="403">
        <f>VLOOKUP(Y74,Camps_subs_values,Subrates!$D$1,FALSE)</f>
        <v>3187291.7966486258</v>
      </c>
      <c r="Z109" s="403">
        <f>VLOOKUP(Z74,Camps_subs_values,Subrates!$D$1,FALSE)</f>
        <v>3980626.3331044568</v>
      </c>
      <c r="AA109" s="403">
        <f>VLOOKUP(AA74,Camps_subs_values,Subrates!$D$1,FALSE)</f>
        <v>65179.635712224161</v>
      </c>
      <c r="AB109" s="403">
        <f>VLOOKUP(AB74,Camps_subs_values,Subrates!$D$1,FALSE)</f>
        <v>106985.44367874876</v>
      </c>
      <c r="AC109" s="403">
        <f>VLOOKUP(AC74,Camps_subs_values,Subrates!$D$1,FALSE)</f>
        <v>187971.18124479818</v>
      </c>
      <c r="AD109" s="403">
        <f>VLOOKUP(AD74,Camps_subs_values,Subrates!$D$1,FALSE)</f>
        <v>255507.32888709597</v>
      </c>
      <c r="AE109" s="403">
        <f>VLOOKUP(AE74,Camps_subs_values,Subrates!$D$1,FALSE)</f>
        <v>341227.19509889162</v>
      </c>
      <c r="AF109" s="403">
        <f>VLOOKUP(AF74,Camps_subs_values,Subrates!$D$1,FALSE)</f>
        <v>448920.82976364018</v>
      </c>
      <c r="AG109" s="403">
        <f>VLOOKUP(AG74,Camps_subs_values,Subrates!$D$1,FALSE)</f>
        <v>500755.98941974033</v>
      </c>
      <c r="AH109" s="403">
        <f>VLOOKUP(AH74,Camps_subs_values,Subrates!$D$1,FALSE)</f>
        <v>625846.9768413977</v>
      </c>
      <c r="AI109" s="403">
        <f>VLOOKUP(AI74,Camps_subs_values,Subrates!$D$1,FALSE)</f>
        <v>784657.66796934558</v>
      </c>
      <c r="AJ109" s="403">
        <f>VLOOKUP(AJ74,Camps_subs_values,Subrates!$D$1,FALSE)</f>
        <v>983125.52146548335</v>
      </c>
      <c r="AK109" s="403">
        <f>VLOOKUP(AK74,Camps_subs_values,Subrates!$D$1,FALSE)</f>
        <v>1287997.2914514868</v>
      </c>
      <c r="AL109" s="403">
        <f>VLOOKUP(AL74,Camps_subs_values,Subrates!$D$1,FALSE)</f>
        <v>2469674.08015214</v>
      </c>
      <c r="AM109" s="403">
        <f>VLOOKUP(AM74,Camps_subs_values,Subrates!$D$1,FALSE)</f>
        <v>3665189.8451468754</v>
      </c>
      <c r="AN109" s="403">
        <f>VLOOKUP(AN74,Camps_subs_values,Subrates!$D$1,FALSE)</f>
        <v>4860003.0415905947</v>
      </c>
      <c r="AO109" s="403">
        <f>VLOOKUP(AO74,Camps_subs_values,Subrates!$D$1,FALSE)</f>
        <v>6041679.8302912479</v>
      </c>
    </row>
    <row r="110" spans="1:43" ht="16.350000000000001" customHeight="1">
      <c r="G110" s="505" t="s">
        <v>1848</v>
      </c>
      <c r="H110" s="566">
        <f t="shared" ref="H110:J110" si="28">H107*H109</f>
        <v>0</v>
      </c>
      <c r="I110" s="566">
        <f t="shared" si="28"/>
        <v>0</v>
      </c>
      <c r="J110" s="566">
        <f t="shared" si="28"/>
        <v>0</v>
      </c>
      <c r="K110" s="505" t="str">
        <f t="shared" si="27"/>
        <v>Total</v>
      </c>
      <c r="L110" s="566">
        <f>L107*L109</f>
        <v>0</v>
      </c>
      <c r="M110" s="566">
        <f>M107*M109</f>
        <v>0</v>
      </c>
      <c r="N110" s="566">
        <f t="shared" ref="N110:AO110" si="29">N107*N109</f>
        <v>0</v>
      </c>
      <c r="O110" s="566">
        <f t="shared" si="29"/>
        <v>0</v>
      </c>
      <c r="P110" s="566">
        <f t="shared" si="29"/>
        <v>0</v>
      </c>
      <c r="Q110" s="566">
        <f t="shared" si="29"/>
        <v>0</v>
      </c>
      <c r="R110" s="566">
        <f t="shared" si="29"/>
        <v>0</v>
      </c>
      <c r="S110" s="566">
        <f t="shared" si="29"/>
        <v>0</v>
      </c>
      <c r="T110" s="566">
        <f t="shared" si="29"/>
        <v>0</v>
      </c>
      <c r="U110" s="566">
        <f t="shared" si="29"/>
        <v>0</v>
      </c>
      <c r="V110" s="566">
        <f t="shared" si="29"/>
        <v>0</v>
      </c>
      <c r="W110" s="566">
        <f t="shared" si="29"/>
        <v>0</v>
      </c>
      <c r="X110" s="566">
        <f t="shared" si="29"/>
        <v>0</v>
      </c>
      <c r="Y110" s="566">
        <f t="shared" si="29"/>
        <v>0</v>
      </c>
      <c r="Z110" s="566">
        <f t="shared" si="29"/>
        <v>0</v>
      </c>
      <c r="AA110" s="566">
        <f t="shared" si="29"/>
        <v>0</v>
      </c>
      <c r="AB110" s="566">
        <f t="shared" si="29"/>
        <v>0</v>
      </c>
      <c r="AC110" s="566">
        <f t="shared" si="29"/>
        <v>0</v>
      </c>
      <c r="AD110" s="566">
        <f t="shared" si="29"/>
        <v>0</v>
      </c>
      <c r="AE110" s="566">
        <f t="shared" si="29"/>
        <v>0</v>
      </c>
      <c r="AF110" s="566">
        <f t="shared" si="29"/>
        <v>0</v>
      </c>
      <c r="AG110" s="566">
        <f t="shared" si="29"/>
        <v>0</v>
      </c>
      <c r="AH110" s="566">
        <f t="shared" si="29"/>
        <v>0</v>
      </c>
      <c r="AI110" s="566">
        <f t="shared" si="29"/>
        <v>0</v>
      </c>
      <c r="AJ110" s="566">
        <f t="shared" si="29"/>
        <v>0</v>
      </c>
      <c r="AK110" s="566">
        <f t="shared" si="29"/>
        <v>0</v>
      </c>
      <c r="AL110" s="566">
        <f t="shared" si="29"/>
        <v>0</v>
      </c>
      <c r="AM110" s="566">
        <f t="shared" si="29"/>
        <v>0</v>
      </c>
      <c r="AN110" s="566">
        <f t="shared" si="29"/>
        <v>0</v>
      </c>
      <c r="AO110" s="566">
        <f t="shared" si="29"/>
        <v>0</v>
      </c>
    </row>
  </sheetData>
  <sheetProtection algorithmName="SHA-512" hashValue="VcZ7de9JuUk4wLVBwByNxsuY1q1OHYFaaEU41BpX8cIQ9nyJYPbHZKzp/EJAw21+u5I+KIyUCbcJ0LPw+/5UUQ==" saltValue="vTjsPAwTuTQ0ymMi5IrdIg==" spinCount="100000" sheet="1" objects="1" scenarios="1" autoFilter="0"/>
  <dataValidations count="2">
    <dataValidation allowBlank="1" showInputMessage="1" showErrorMessage="1" prompt="Enter length requiring rehab or leave blank and accept the % default." sqref="E28 E6 I51" xr:uid="{1693A040-5D1F-4EEE-B727-1355516CE9B9}"/>
    <dataValidation type="whole" allowBlank="1" showInputMessage="1" showErrorMessage="1" sqref="G76:G105" xr:uid="{724D525A-7B57-4CB7-8E0D-740F0954B299}">
      <formula1>0</formula1>
      <formula2>1000</formula2>
    </dataValidation>
  </dataValidations>
  <hyperlinks>
    <hyperlink ref="B3" location="CONTENTS" display="Contents" xr:uid="{7BB874BF-6B20-45DE-AECA-F83BAE8D2948}"/>
    <hyperlink ref="H108" location="Land_Subs_Nme" display="Land Subrates" xr:uid="{9E8F0D4D-B929-4486-A5AA-26460A211329}"/>
    <hyperlink ref="I108:J108" location="Land_Subs_Nme" display="Land Subrates" xr:uid="{A0BEF98C-C4B1-4BD9-B1B4-74D70AC66BDF}"/>
    <hyperlink ref="L108" location="Camps_Subrates_Nme" display="Camps Subrates" xr:uid="{C5025546-DFED-444A-A7A8-4BAB73131164}"/>
    <hyperlink ref="M108:AO108" location="Camps_Subrates_Nme" display="Camps Subrates" xr:uid="{184E172A-8793-44C4-A8A4-D14BA99C1C09}"/>
  </hyperlink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70F39425-66DB-4137-B001-4EB843C6C733}">
          <x14:formula1>
            <xm:f>Lists!$C$41:$C$43</xm:f>
          </x14:formula1>
          <xm:sqref>F8:F21 J53:J66 F30:F43</xm:sqref>
        </x14:dataValidation>
        <x14:dataValidation type="list" allowBlank="1" showInputMessage="1" showErrorMessage="1" xr:uid="{C54E93B5-78CC-434E-9F8D-97C88CB0317C}">
          <x14:formula1>
            <xm:f>Lists!$C$46:$C$49</xm:f>
          </x14:formula1>
          <xm:sqref>I53:I66</xm:sqref>
        </x14:dataValidation>
        <x14:dataValidation type="list" allowBlank="1" showInputMessage="1" showErrorMessage="1" xr:uid="{2A84002C-B9B2-4E30-8D4A-4EE6CA6ABAB9}">
          <x14:formula1>
            <xm:f>Assumptions!$C$220:$C$249</xm:f>
          </x14:formula1>
          <xm:sqref>D76:D105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7A3B-C59A-4950-835F-60D8A8A256F2}">
  <sheetPr codeName="Sheet39">
    <tabColor theme="9" tint="-0.499984740745262"/>
  </sheetPr>
  <dimension ref="A2:U55"/>
  <sheetViews>
    <sheetView showGridLines="0" zoomScaleNormal="100" workbookViewId="0">
      <pane xSplit="7" ySplit="6" topLeftCell="H7" activePane="bottomRight" state="frozen"/>
      <selection pane="topRight" activeCell="H1" sqref="H1"/>
      <selection pane="bottomLeft" activeCell="A7" sqref="A7"/>
      <selection pane="bottomRight"/>
    </sheetView>
  </sheetViews>
  <sheetFormatPr defaultColWidth="9.28515625" defaultRowHeight="12"/>
  <cols>
    <col min="1" max="1" width="1.42578125" style="494" customWidth="1"/>
    <col min="2" max="2" width="11.5703125" style="494" customWidth="1"/>
    <col min="3" max="3" width="69.5703125" style="494" bestFit="1" customWidth="1"/>
    <col min="4" max="6" width="18.5703125" style="494" customWidth="1"/>
    <col min="7" max="9" width="18.5703125" style="497" customWidth="1"/>
    <col min="10" max="11" width="18.5703125" style="494" customWidth="1"/>
    <col min="12" max="15" width="18.5703125" style="497" customWidth="1"/>
    <col min="16" max="23" width="18.5703125" style="494" customWidth="1"/>
    <col min="24" max="16384" width="9.28515625" style="494"/>
  </cols>
  <sheetData>
    <row r="2" spans="1:21" ht="16.350000000000001" customHeight="1">
      <c r="B2" s="225" t="str">
        <f>CONTENTS!$B$2</f>
        <v>Petroleum and Gas Estimated Rehabilitation Cost Calculator</v>
      </c>
      <c r="C2" s="496"/>
      <c r="D2" s="525" t="s">
        <v>1769</v>
      </c>
      <c r="E2" s="525" t="s">
        <v>1726</v>
      </c>
      <c r="H2" s="525"/>
      <c r="I2" s="525"/>
      <c r="J2" s="497"/>
      <c r="K2" s="497"/>
      <c r="M2" s="494"/>
      <c r="N2" s="494"/>
      <c r="O2" s="494"/>
    </row>
    <row r="3" spans="1:21" ht="19.350000000000001" customHeight="1">
      <c r="B3" s="20" t="s">
        <v>305</v>
      </c>
      <c r="C3" s="498" t="s">
        <v>1849</v>
      </c>
      <c r="D3" s="502">
        <f>SUM(M54:U54)</f>
        <v>0</v>
      </c>
      <c r="E3" s="502">
        <f>ERC</f>
        <v>0</v>
      </c>
      <c r="H3" s="525"/>
      <c r="J3" s="497"/>
      <c r="K3" s="497"/>
      <c r="L3" s="494"/>
      <c r="M3" s="494"/>
      <c r="N3" s="494"/>
      <c r="O3" s="494"/>
    </row>
    <row r="4" spans="1:21" ht="16.350000000000001" customHeight="1">
      <c r="F4" s="497"/>
      <c r="J4" s="497"/>
      <c r="K4" s="497"/>
      <c r="L4" s="494"/>
      <c r="M4" s="494"/>
      <c r="N4" s="494"/>
      <c r="O4" s="494"/>
    </row>
    <row r="5" spans="1:21" ht="30" customHeight="1">
      <c r="A5" s="532"/>
      <c r="B5" s="509" t="s">
        <v>439</v>
      </c>
      <c r="C5" s="509" t="s">
        <v>1774</v>
      </c>
      <c r="D5" s="509" t="s">
        <v>1850</v>
      </c>
      <c r="E5" s="509" t="s">
        <v>1851</v>
      </c>
      <c r="F5" s="509" t="s">
        <v>1852</v>
      </c>
      <c r="G5" s="509" t="s">
        <v>1853</v>
      </c>
      <c r="H5" s="509" t="s">
        <v>1825</v>
      </c>
      <c r="I5" s="509" t="s">
        <v>1826</v>
      </c>
      <c r="J5" s="509" t="s">
        <v>135</v>
      </c>
      <c r="K5" s="509" t="s">
        <v>125</v>
      </c>
      <c r="L5" s="509" t="s">
        <v>1817</v>
      </c>
      <c r="M5" s="509" t="str" cm="1">
        <f t="array" ref="M5:U5">TRANSPOSE(Subrates!C294:C302)</f>
        <v>Full Rehab needed Pasture</v>
      </c>
      <c r="N5" s="509" t="str">
        <v>Full Rehab needed Native</v>
      </c>
      <c r="O5" s="509" t="str">
        <v>Full Rehab needed Arid</v>
      </c>
      <c r="P5" s="509" t="str">
        <v>Final Rehab needed Pasture</v>
      </c>
      <c r="Q5" s="509" t="str">
        <v>Final Rehab needed Native</v>
      </c>
      <c r="R5" s="509" t="str">
        <v>Final Rehab needed Arid</v>
      </c>
      <c r="S5" s="509" t="str">
        <v>Inspection only Pasture</v>
      </c>
      <c r="T5" s="509" t="str">
        <v>Inspection only Native</v>
      </c>
      <c r="U5" s="509" t="str">
        <v>Inspection only Arid</v>
      </c>
    </row>
    <row r="6" spans="1:21" ht="18" customHeight="1">
      <c r="A6" s="532"/>
      <c r="B6" s="533"/>
      <c r="C6" s="533"/>
      <c r="D6" s="544" t="s">
        <v>1777</v>
      </c>
      <c r="E6" s="544" t="s">
        <v>1777</v>
      </c>
      <c r="F6" s="533" t="s">
        <v>82</v>
      </c>
      <c r="G6" s="533" t="s">
        <v>79</v>
      </c>
      <c r="H6" s="533" t="s">
        <v>119</v>
      </c>
      <c r="I6" s="533" t="s">
        <v>119</v>
      </c>
      <c r="J6" s="533" t="s">
        <v>119</v>
      </c>
      <c r="K6" s="544" t="s">
        <v>1777</v>
      </c>
      <c r="L6" s="544" t="s">
        <v>1777</v>
      </c>
      <c r="O6" s="494"/>
      <c r="P6" s="532"/>
    </row>
    <row r="7" spans="1:21">
      <c r="A7" s="532"/>
      <c r="B7" s="137"/>
      <c r="C7" s="139"/>
      <c r="D7" s="57" t="s">
        <v>122</v>
      </c>
      <c r="E7" s="57" t="s">
        <v>1854</v>
      </c>
      <c r="F7" s="55"/>
      <c r="G7" s="55"/>
      <c r="H7" s="545">
        <f>F7*1000*G7/10000</f>
        <v>0</v>
      </c>
      <c r="I7" s="55"/>
      <c r="J7" s="545">
        <f>IF(I7="",H7,I7)</f>
        <v>0</v>
      </c>
      <c r="K7" s="56" t="s">
        <v>148</v>
      </c>
      <c r="L7" s="56" t="s">
        <v>124</v>
      </c>
      <c r="M7" s="545">
        <f>IF(AND($K7=Lists!$C$21,$L7=Lists!$C$41),$J7,"")</f>
        <v>0</v>
      </c>
      <c r="N7" s="545" t="str">
        <f>IF(AND($K7=Lists!$C$21,$L7=Lists!$C$42),$J7,"")</f>
        <v/>
      </c>
      <c r="O7" s="545" t="str">
        <f>IF(AND($K7=Lists!$C$21,$L7=Lists!$C$43),$J7,"")</f>
        <v/>
      </c>
      <c r="P7" s="545" t="str">
        <f>IF(AND($K7=Lists!$C$22,$L7=Lists!$C$41),$J7,"")</f>
        <v/>
      </c>
      <c r="Q7" s="545" t="str">
        <f>IF(AND($K7=Lists!$C$22,$L7=Lists!$C$42),$J7,"")</f>
        <v/>
      </c>
      <c r="R7" s="545" t="str">
        <f>IF(AND($K7=Lists!$C$22,$L7=Lists!$C$43),$J7,"")</f>
        <v/>
      </c>
      <c r="S7" s="545" t="str">
        <f>IF(AND($K7=Lists!$C$23,$L7=Lists!$C$41),$J7,"")</f>
        <v/>
      </c>
      <c r="T7" s="545" t="str">
        <f>IF(AND($K7=Lists!$C$23,$L7=Lists!$C$42),$J7,"")</f>
        <v/>
      </c>
      <c r="U7" s="545" t="str">
        <f>IF(AND($K7=Lists!$C$23,$L7=Lists!$C$43),$J7,"")</f>
        <v/>
      </c>
    </row>
    <row r="8" spans="1:21">
      <c r="A8" s="532"/>
      <c r="B8" s="137"/>
      <c r="C8" s="139"/>
      <c r="D8" s="57" t="s">
        <v>122</v>
      </c>
      <c r="E8" s="57" t="s">
        <v>1854</v>
      </c>
      <c r="F8" s="55"/>
      <c r="G8" s="55"/>
      <c r="H8" s="545">
        <f t="shared" ref="H8:H49" si="0">F8*1000*G8/10000</f>
        <v>0</v>
      </c>
      <c r="I8" s="55"/>
      <c r="J8" s="545">
        <f t="shared" ref="J8:J49" si="1">IF(I8="",H8,I8)</f>
        <v>0</v>
      </c>
      <c r="K8" s="56" t="s">
        <v>148</v>
      </c>
      <c r="L8" s="56" t="s">
        <v>133</v>
      </c>
      <c r="M8" s="545" t="str">
        <f>IF(AND($K8=Lists!$C$21,$L8=Lists!$C$41),$J8,"")</f>
        <v/>
      </c>
      <c r="N8" s="545">
        <f>IF(AND($K8=Lists!$C$21,$L8=Lists!$C$42),$J8,"")</f>
        <v>0</v>
      </c>
      <c r="O8" s="545" t="str">
        <f>IF(AND($K8=Lists!$C$21,$L8=Lists!$C$43),$J8,"")</f>
        <v/>
      </c>
      <c r="P8" s="545" t="str">
        <f>IF(AND($K8=Lists!$C$22,$L8=Lists!$C$41),$J8,"")</f>
        <v/>
      </c>
      <c r="Q8" s="545" t="str">
        <f>IF(AND($K8=Lists!$C$22,$L8=Lists!$C$42),$J8,"")</f>
        <v/>
      </c>
      <c r="R8" s="545" t="str">
        <f>IF(AND($K8=Lists!$C$22,$L8=Lists!$C$43),$J8,"")</f>
        <v/>
      </c>
      <c r="S8" s="545" t="str">
        <f>IF(AND($K8=Lists!$C$23,$L8=Lists!$C$41),$J8,"")</f>
        <v/>
      </c>
      <c r="T8" s="545" t="str">
        <f>IF(AND($K8=Lists!$C$23,$L8=Lists!$C$42),$J8,"")</f>
        <v/>
      </c>
      <c r="U8" s="545" t="str">
        <f>IF(AND($K8=Lists!$C$23,$L8=Lists!$C$43),$J8,"")</f>
        <v/>
      </c>
    </row>
    <row r="9" spans="1:21">
      <c r="A9" s="532"/>
      <c r="B9" s="137"/>
      <c r="C9" s="139"/>
      <c r="D9" s="57" t="s">
        <v>122</v>
      </c>
      <c r="E9" s="57" t="s">
        <v>1854</v>
      </c>
      <c r="F9" s="55"/>
      <c r="G9" s="55"/>
      <c r="H9" s="545">
        <f t="shared" si="0"/>
        <v>0</v>
      </c>
      <c r="I9" s="55"/>
      <c r="J9" s="545">
        <f t="shared" si="1"/>
        <v>0</v>
      </c>
      <c r="K9" s="56" t="s">
        <v>148</v>
      </c>
      <c r="L9" s="56" t="s">
        <v>99</v>
      </c>
      <c r="M9" s="545" t="str">
        <f>IF(AND($K9=Lists!$C$21,$L9=Lists!$C$41),$J9,"")</f>
        <v/>
      </c>
      <c r="N9" s="545" t="str">
        <f>IF(AND($K9=Lists!$C$21,$L9=Lists!$C$42),$J9,"")</f>
        <v/>
      </c>
      <c r="O9" s="545">
        <f>IF(AND($K9=Lists!$C$21,$L9=Lists!$C$43),$J9,"")</f>
        <v>0</v>
      </c>
      <c r="P9" s="545" t="str">
        <f>IF(AND($K9=Lists!$C$22,$L9=Lists!$C$41),$J9,"")</f>
        <v/>
      </c>
      <c r="Q9" s="545" t="str">
        <f>IF(AND($K9=Lists!$C$22,$L9=Lists!$C$42),$J9,"")</f>
        <v/>
      </c>
      <c r="R9" s="545" t="str">
        <f>IF(AND($K9=Lists!$C$22,$L9=Lists!$C$43),$J9,"")</f>
        <v/>
      </c>
      <c r="S9" s="545" t="str">
        <f>IF(AND($K9=Lists!$C$23,$L9=Lists!$C$41),$J9,"")</f>
        <v/>
      </c>
      <c r="T9" s="545" t="str">
        <f>IF(AND($K9=Lists!$C$23,$L9=Lists!$C$42),$J9,"")</f>
        <v/>
      </c>
      <c r="U9" s="545" t="str">
        <f>IF(AND($K9=Lists!$C$23,$L9=Lists!$C$43),$J9,"")</f>
        <v/>
      </c>
    </row>
    <row r="10" spans="1:21">
      <c r="A10" s="532"/>
      <c r="B10" s="137"/>
      <c r="C10" s="139"/>
      <c r="D10" s="57" t="s">
        <v>122</v>
      </c>
      <c r="E10" s="57" t="s">
        <v>1854</v>
      </c>
      <c r="F10" s="55"/>
      <c r="G10" s="55"/>
      <c r="H10" s="545">
        <f t="shared" si="0"/>
        <v>0</v>
      </c>
      <c r="I10" s="55"/>
      <c r="J10" s="545">
        <f t="shared" si="1"/>
        <v>0</v>
      </c>
      <c r="K10" s="56" t="s">
        <v>1855</v>
      </c>
      <c r="L10" s="56" t="s">
        <v>124</v>
      </c>
      <c r="M10" s="545" t="str">
        <f>IF(AND($K10=Lists!$C$21,$L10=Lists!$C$41),$J10,"")</f>
        <v/>
      </c>
      <c r="N10" s="545" t="str">
        <f>IF(AND($K10=Lists!$C$21,$L10=Lists!$C$42),$J10,"")</f>
        <v/>
      </c>
      <c r="O10" s="545" t="str">
        <f>IF(AND($K10=Lists!$C$21,$L10=Lists!$C$43),$J10,"")</f>
        <v/>
      </c>
      <c r="P10" s="545">
        <f>IF(AND($K10=Lists!$C$22,$L10=Lists!$C$41),$J10,"")</f>
        <v>0</v>
      </c>
      <c r="Q10" s="545" t="str">
        <f>IF(AND($K10=Lists!$C$22,$L10=Lists!$C$42),$J10,"")</f>
        <v/>
      </c>
      <c r="R10" s="545" t="str">
        <f>IF(AND($K10=Lists!$C$22,$L10=Lists!$C$43),$J10,"")</f>
        <v/>
      </c>
      <c r="S10" s="545" t="str">
        <f>IF(AND($K10=Lists!$C$23,$L10=Lists!$C$41),$J10,"")</f>
        <v/>
      </c>
      <c r="T10" s="545" t="str">
        <f>IF(AND($K10=Lists!$C$23,$L10=Lists!$C$42),$J10,"")</f>
        <v/>
      </c>
      <c r="U10" s="545" t="str">
        <f>IF(AND($K10=Lists!$C$23,$L10=Lists!$C$43),$J10,"")</f>
        <v/>
      </c>
    </row>
    <row r="11" spans="1:21">
      <c r="A11" s="532"/>
      <c r="B11" s="137"/>
      <c r="C11" s="139"/>
      <c r="D11" s="57" t="s">
        <v>122</v>
      </c>
      <c r="E11" s="57" t="s">
        <v>1854</v>
      </c>
      <c r="F11" s="55"/>
      <c r="G11" s="55"/>
      <c r="H11" s="545">
        <f t="shared" si="0"/>
        <v>0</v>
      </c>
      <c r="I11" s="55"/>
      <c r="J11" s="545">
        <f t="shared" si="1"/>
        <v>0</v>
      </c>
      <c r="K11" s="56" t="s">
        <v>1855</v>
      </c>
      <c r="L11" s="56" t="s">
        <v>133</v>
      </c>
      <c r="M11" s="545" t="str">
        <f>IF(AND($K11=Lists!$C$21,$L11=Lists!$C$41),$J11,"")</f>
        <v/>
      </c>
      <c r="N11" s="545" t="str">
        <f>IF(AND($K11=Lists!$C$21,$L11=Lists!$C$42),$J11,"")</f>
        <v/>
      </c>
      <c r="O11" s="545" t="str">
        <f>IF(AND($K11=Lists!$C$21,$L11=Lists!$C$43),$J11,"")</f>
        <v/>
      </c>
      <c r="P11" s="545" t="str">
        <f>IF(AND($K11=Lists!$C$22,$L11=Lists!$C$41),$J11,"")</f>
        <v/>
      </c>
      <c r="Q11" s="545">
        <f>IF(AND($K11=Lists!$C$22,$L11=Lists!$C$42),$J11,"")</f>
        <v>0</v>
      </c>
      <c r="R11" s="545" t="str">
        <f>IF(AND($K11=Lists!$C$22,$L11=Lists!$C$43),$J11,"")</f>
        <v/>
      </c>
      <c r="S11" s="545" t="str">
        <f>IF(AND($K11=Lists!$C$23,$L11=Lists!$C$41),$J11,"")</f>
        <v/>
      </c>
      <c r="T11" s="545" t="str">
        <f>IF(AND($K11=Lists!$C$23,$L11=Lists!$C$42),$J11,"")</f>
        <v/>
      </c>
      <c r="U11" s="545" t="str">
        <f>IF(AND($K11=Lists!$C$23,$L11=Lists!$C$43),$J11,"")</f>
        <v/>
      </c>
    </row>
    <row r="12" spans="1:21">
      <c r="A12" s="532"/>
      <c r="B12" s="137"/>
      <c r="C12" s="139"/>
      <c r="D12" s="57" t="s">
        <v>122</v>
      </c>
      <c r="E12" s="57" t="s">
        <v>1854</v>
      </c>
      <c r="F12" s="55"/>
      <c r="G12" s="55"/>
      <c r="H12" s="545">
        <f t="shared" si="0"/>
        <v>0</v>
      </c>
      <c r="I12" s="55"/>
      <c r="J12" s="545">
        <f t="shared" si="1"/>
        <v>0</v>
      </c>
      <c r="K12" s="56" t="s">
        <v>1855</v>
      </c>
      <c r="L12" s="56" t="s">
        <v>99</v>
      </c>
      <c r="M12" s="545" t="str">
        <f>IF(AND($K12=Lists!$C$21,$L12=Lists!$C$41),$J12,"")</f>
        <v/>
      </c>
      <c r="N12" s="545" t="str">
        <f>IF(AND($K12=Lists!$C$21,$L12=Lists!$C$42),$J12,"")</f>
        <v/>
      </c>
      <c r="O12" s="545" t="str">
        <f>IF(AND($K12=Lists!$C$21,$L12=Lists!$C$43),$J12,"")</f>
        <v/>
      </c>
      <c r="P12" s="545" t="str">
        <f>IF(AND($K12=Lists!$C$22,$L12=Lists!$C$41),$J12,"")</f>
        <v/>
      </c>
      <c r="Q12" s="545" t="str">
        <f>IF(AND($K12=Lists!$C$22,$L12=Lists!$C$42),$J12,"")</f>
        <v/>
      </c>
      <c r="R12" s="545">
        <f>IF(AND($K12=Lists!$C$22,$L12=Lists!$C$43),$J12,"")</f>
        <v>0</v>
      </c>
      <c r="S12" s="545" t="str">
        <f>IF(AND($K12=Lists!$C$23,$L12=Lists!$C$41),$J12,"")</f>
        <v/>
      </c>
      <c r="T12" s="545" t="str">
        <f>IF(AND($K12=Lists!$C$23,$L12=Lists!$C$42),$J12,"")</f>
        <v/>
      </c>
      <c r="U12" s="545" t="str">
        <f>IF(AND($K12=Lists!$C$23,$L12=Lists!$C$43),$J12,"")</f>
        <v/>
      </c>
    </row>
    <row r="13" spans="1:21">
      <c r="A13" s="532"/>
      <c r="B13" s="137"/>
      <c r="C13" s="139"/>
      <c r="D13" s="57" t="s">
        <v>122</v>
      </c>
      <c r="E13" s="57" t="s">
        <v>1854</v>
      </c>
      <c r="F13" s="55"/>
      <c r="G13" s="55"/>
      <c r="H13" s="545">
        <f t="shared" si="0"/>
        <v>0</v>
      </c>
      <c r="I13" s="55"/>
      <c r="J13" s="545">
        <f t="shared" si="1"/>
        <v>0</v>
      </c>
      <c r="K13" s="56" t="s">
        <v>1856</v>
      </c>
      <c r="L13" s="56" t="s">
        <v>124</v>
      </c>
      <c r="M13" s="545" t="str">
        <f>IF(AND($K13=Lists!$C$21,$L13=Lists!$C$41),$J13,"")</f>
        <v/>
      </c>
      <c r="N13" s="545" t="str">
        <f>IF(AND($K13=Lists!$C$21,$L13=Lists!$C$42),$J13,"")</f>
        <v/>
      </c>
      <c r="O13" s="545" t="str">
        <f>IF(AND($K13=Lists!$C$21,$L13=Lists!$C$43),$J13,"")</f>
        <v/>
      </c>
      <c r="P13" s="545" t="str">
        <f>IF(AND($K13=Lists!$C$22,$L13=Lists!$C$41),$J13,"")</f>
        <v/>
      </c>
      <c r="Q13" s="545" t="str">
        <f>IF(AND($K13=Lists!$C$22,$L13=Lists!$C$42),$J13,"")</f>
        <v/>
      </c>
      <c r="R13" s="545" t="str">
        <f>IF(AND($K13=Lists!$C$22,$L13=Lists!$C$43),$J13,"")</f>
        <v/>
      </c>
      <c r="S13" s="545">
        <f>IF(AND($K13=Lists!$C$23,$L13=Lists!$C$41),$J13,"")</f>
        <v>0</v>
      </c>
      <c r="T13" s="545" t="str">
        <f>IF(AND($K13=Lists!$C$23,$L13=Lists!$C$42),$J13,"")</f>
        <v/>
      </c>
      <c r="U13" s="545" t="str">
        <f>IF(AND($K13=Lists!$C$23,$L13=Lists!$C$43),$J13,"")</f>
        <v/>
      </c>
    </row>
    <row r="14" spans="1:21">
      <c r="A14" s="532"/>
      <c r="B14" s="137"/>
      <c r="C14" s="139"/>
      <c r="D14" s="57" t="s">
        <v>122</v>
      </c>
      <c r="E14" s="57" t="s">
        <v>1854</v>
      </c>
      <c r="F14" s="55"/>
      <c r="G14" s="55"/>
      <c r="H14" s="545">
        <f t="shared" si="0"/>
        <v>0</v>
      </c>
      <c r="I14" s="55"/>
      <c r="J14" s="545">
        <f t="shared" si="1"/>
        <v>0</v>
      </c>
      <c r="K14" s="56" t="s">
        <v>1856</v>
      </c>
      <c r="L14" s="56" t="s">
        <v>133</v>
      </c>
      <c r="M14" s="545" t="str">
        <f>IF(AND($K14=Lists!$C$21,$L14=Lists!$C$41),$J14,"")</f>
        <v/>
      </c>
      <c r="N14" s="545" t="str">
        <f>IF(AND($K14=Lists!$C$21,$L14=Lists!$C$42),$J14,"")</f>
        <v/>
      </c>
      <c r="O14" s="545" t="str">
        <f>IF(AND($K14=Lists!$C$21,$L14=Lists!$C$43),$J14,"")</f>
        <v/>
      </c>
      <c r="P14" s="545" t="str">
        <f>IF(AND($K14=Lists!$C$22,$L14=Lists!$C$41),$J14,"")</f>
        <v/>
      </c>
      <c r="Q14" s="545" t="str">
        <f>IF(AND($K14=Lists!$C$22,$L14=Lists!$C$42),$J14,"")</f>
        <v/>
      </c>
      <c r="R14" s="545" t="str">
        <f>IF(AND($K14=Lists!$C$22,$L14=Lists!$C$43),$J14,"")</f>
        <v/>
      </c>
      <c r="S14" s="545" t="str">
        <f>IF(AND($K14=Lists!$C$23,$L14=Lists!$C$41),$J14,"")</f>
        <v/>
      </c>
      <c r="T14" s="545">
        <f>IF(AND($K14=Lists!$C$23,$L14=Lists!$C$42),$J14,"")</f>
        <v>0</v>
      </c>
      <c r="U14" s="545" t="str">
        <f>IF(AND($K14=Lists!$C$23,$L14=Lists!$C$43),$J14,"")</f>
        <v/>
      </c>
    </row>
    <row r="15" spans="1:21">
      <c r="A15" s="532"/>
      <c r="B15" s="137"/>
      <c r="C15" s="139"/>
      <c r="D15" s="57" t="s">
        <v>122</v>
      </c>
      <c r="E15" s="57" t="s">
        <v>1854</v>
      </c>
      <c r="F15" s="55"/>
      <c r="G15" s="55"/>
      <c r="H15" s="545">
        <f t="shared" si="0"/>
        <v>0</v>
      </c>
      <c r="I15" s="55"/>
      <c r="J15" s="545">
        <f t="shared" si="1"/>
        <v>0</v>
      </c>
      <c r="K15" s="56" t="s">
        <v>1856</v>
      </c>
      <c r="L15" s="56" t="s">
        <v>99</v>
      </c>
      <c r="M15" s="545" t="str">
        <f>IF(AND($K15=Lists!$C$21,$L15=Lists!$C$41),$J15,"")</f>
        <v/>
      </c>
      <c r="N15" s="545" t="str">
        <f>IF(AND($K15=Lists!$C$21,$L15=Lists!$C$42),$J15,"")</f>
        <v/>
      </c>
      <c r="O15" s="545" t="str">
        <f>IF(AND($K15=Lists!$C$21,$L15=Lists!$C$43),$J15,"")</f>
        <v/>
      </c>
      <c r="P15" s="545" t="str">
        <f>IF(AND($K15=Lists!$C$22,$L15=Lists!$C$41),$J15,"")</f>
        <v/>
      </c>
      <c r="Q15" s="545" t="str">
        <f>IF(AND($K15=Lists!$C$22,$L15=Lists!$C$42),$J15,"")</f>
        <v/>
      </c>
      <c r="R15" s="545" t="str">
        <f>IF(AND($K15=Lists!$C$22,$L15=Lists!$C$43),$J15,"")</f>
        <v/>
      </c>
      <c r="S15" s="545" t="str">
        <f>IF(AND($K15=Lists!$C$23,$L15=Lists!$C$41),$J15,"")</f>
        <v/>
      </c>
      <c r="T15" s="545" t="str">
        <f>IF(AND($K15=Lists!$C$23,$L15=Lists!$C$42),$J15,"")</f>
        <v/>
      </c>
      <c r="U15" s="545">
        <f>IF(AND($K15=Lists!$C$23,$L15=Lists!$C$43),$J15,"")</f>
        <v>0</v>
      </c>
    </row>
    <row r="16" spans="1:21">
      <c r="A16" s="532"/>
      <c r="B16" s="137"/>
      <c r="C16" s="139"/>
      <c r="D16" s="57" t="s">
        <v>122</v>
      </c>
      <c r="E16" s="57" t="s">
        <v>243</v>
      </c>
      <c r="F16" s="55"/>
      <c r="G16" s="55"/>
      <c r="H16" s="545">
        <f t="shared" si="0"/>
        <v>0</v>
      </c>
      <c r="I16" s="55"/>
      <c r="J16" s="545">
        <f t="shared" si="1"/>
        <v>0</v>
      </c>
      <c r="K16" s="56" t="s">
        <v>148</v>
      </c>
      <c r="L16" s="56" t="s">
        <v>124</v>
      </c>
      <c r="M16" s="545">
        <f>IF(AND($K16=Lists!$C$21,$L16=Lists!$C$41),$J16,"")</f>
        <v>0</v>
      </c>
      <c r="N16" s="545" t="str">
        <f>IF(AND($K16=Lists!$C$21,$L16=Lists!$C$42),$J16,"")</f>
        <v/>
      </c>
      <c r="O16" s="545" t="str">
        <f>IF(AND($K16=Lists!$C$21,$L16=Lists!$C$43),$J16,"")</f>
        <v/>
      </c>
      <c r="P16" s="545" t="str">
        <f>IF(AND($K16=Lists!$C$22,$L16=Lists!$C$41),$J16,"")</f>
        <v/>
      </c>
      <c r="Q16" s="545" t="str">
        <f>IF(AND($K16=Lists!$C$22,$L16=Lists!$C$42),$J16,"")</f>
        <v/>
      </c>
      <c r="R16" s="545" t="str">
        <f>IF(AND($K16=Lists!$C$22,$L16=Lists!$C$43),$J16,"")</f>
        <v/>
      </c>
      <c r="S16" s="545" t="str">
        <f>IF(AND($K16=Lists!$C$23,$L16=Lists!$C$41),$J16,"")</f>
        <v/>
      </c>
      <c r="T16" s="545" t="str">
        <f>IF(AND($K16=Lists!$C$23,$L16=Lists!$C$42),$J16,"")</f>
        <v/>
      </c>
      <c r="U16" s="545" t="str">
        <f>IF(AND($K16=Lists!$C$23,$L16=Lists!$C$43),$J16,"")</f>
        <v/>
      </c>
    </row>
    <row r="17" spans="1:21">
      <c r="A17" s="532"/>
      <c r="B17" s="137"/>
      <c r="C17" s="139"/>
      <c r="D17" s="57" t="s">
        <v>122</v>
      </c>
      <c r="E17" s="57" t="s">
        <v>243</v>
      </c>
      <c r="F17" s="55"/>
      <c r="G17" s="55"/>
      <c r="H17" s="545">
        <f t="shared" si="0"/>
        <v>0</v>
      </c>
      <c r="I17" s="55"/>
      <c r="J17" s="545">
        <f t="shared" si="1"/>
        <v>0</v>
      </c>
      <c r="K17" s="56" t="s">
        <v>148</v>
      </c>
      <c r="L17" s="56" t="s">
        <v>133</v>
      </c>
      <c r="M17" s="545" t="str">
        <f>IF(AND($K17=Lists!$C$21,$L17=Lists!$C$41),$J17,"")</f>
        <v/>
      </c>
      <c r="N17" s="545">
        <f>IF(AND($K17=Lists!$C$21,$L17=Lists!$C$42),$J17,"")</f>
        <v>0</v>
      </c>
      <c r="O17" s="545" t="str">
        <f>IF(AND($K17=Lists!$C$21,$L17=Lists!$C$43),$J17,"")</f>
        <v/>
      </c>
      <c r="P17" s="545" t="str">
        <f>IF(AND($K17=Lists!$C$22,$L17=Lists!$C$41),$J17,"")</f>
        <v/>
      </c>
      <c r="Q17" s="545" t="str">
        <f>IF(AND($K17=Lists!$C$22,$L17=Lists!$C$42),$J17,"")</f>
        <v/>
      </c>
      <c r="R17" s="545" t="str">
        <f>IF(AND($K17=Lists!$C$22,$L17=Lists!$C$43),$J17,"")</f>
        <v/>
      </c>
      <c r="S17" s="545" t="str">
        <f>IF(AND($K17=Lists!$C$23,$L17=Lists!$C$41),$J17,"")</f>
        <v/>
      </c>
      <c r="T17" s="545" t="str">
        <f>IF(AND($K17=Lists!$C$23,$L17=Lists!$C$42),$J17,"")</f>
        <v/>
      </c>
      <c r="U17" s="545" t="str">
        <f>IF(AND($K17=Lists!$C$23,$L17=Lists!$C$43),$J17,"")</f>
        <v/>
      </c>
    </row>
    <row r="18" spans="1:21">
      <c r="A18" s="532"/>
      <c r="B18" s="137"/>
      <c r="C18" s="139"/>
      <c r="D18" s="57" t="s">
        <v>122</v>
      </c>
      <c r="E18" s="57" t="s">
        <v>243</v>
      </c>
      <c r="F18" s="55"/>
      <c r="G18" s="55"/>
      <c r="H18" s="545">
        <f t="shared" si="0"/>
        <v>0</v>
      </c>
      <c r="I18" s="55"/>
      <c r="J18" s="545">
        <f t="shared" si="1"/>
        <v>0</v>
      </c>
      <c r="K18" s="56" t="s">
        <v>148</v>
      </c>
      <c r="L18" s="56" t="s">
        <v>99</v>
      </c>
      <c r="M18" s="545" t="str">
        <f>IF(AND($K18=Lists!$C$21,$L18=Lists!$C$41),$J18,"")</f>
        <v/>
      </c>
      <c r="N18" s="545" t="str">
        <f>IF(AND($K18=Lists!$C$21,$L18=Lists!$C$42),$J18,"")</f>
        <v/>
      </c>
      <c r="O18" s="545">
        <f>IF(AND($K18=Lists!$C$21,$L18=Lists!$C$43),$J18,"")</f>
        <v>0</v>
      </c>
      <c r="P18" s="545" t="str">
        <f>IF(AND($K18=Lists!$C$22,$L18=Lists!$C$41),$J18,"")</f>
        <v/>
      </c>
      <c r="Q18" s="545" t="str">
        <f>IF(AND($K18=Lists!$C$22,$L18=Lists!$C$42),$J18,"")</f>
        <v/>
      </c>
      <c r="R18" s="545" t="str">
        <f>IF(AND($K18=Lists!$C$22,$L18=Lists!$C$43),$J18,"")</f>
        <v/>
      </c>
      <c r="S18" s="545" t="str">
        <f>IF(AND($K18=Lists!$C$23,$L18=Lists!$C$41),$J18,"")</f>
        <v/>
      </c>
      <c r="T18" s="545" t="str">
        <f>IF(AND($K18=Lists!$C$23,$L18=Lists!$C$42),$J18,"")</f>
        <v/>
      </c>
      <c r="U18" s="545" t="str">
        <f>IF(AND($K18=Lists!$C$23,$L18=Lists!$C$43),$J18,"")</f>
        <v/>
      </c>
    </row>
    <row r="19" spans="1:21">
      <c r="A19" s="532"/>
      <c r="B19" s="137"/>
      <c r="C19" s="139"/>
      <c r="D19" s="57" t="s">
        <v>122</v>
      </c>
      <c r="E19" s="57" t="s">
        <v>243</v>
      </c>
      <c r="F19" s="55"/>
      <c r="G19" s="55"/>
      <c r="H19" s="545">
        <f t="shared" si="0"/>
        <v>0</v>
      </c>
      <c r="I19" s="55"/>
      <c r="J19" s="545">
        <f t="shared" si="1"/>
        <v>0</v>
      </c>
      <c r="K19" s="56" t="s">
        <v>1855</v>
      </c>
      <c r="L19" s="56" t="s">
        <v>124</v>
      </c>
      <c r="M19" s="545" t="str">
        <f>IF(AND($K19=Lists!$C$21,$L19=Lists!$C$41),$J19,"")</f>
        <v/>
      </c>
      <c r="N19" s="545" t="str">
        <f>IF(AND($K19=Lists!$C$21,$L19=Lists!$C$42),$J19,"")</f>
        <v/>
      </c>
      <c r="O19" s="545" t="str">
        <f>IF(AND($K19=Lists!$C$21,$L19=Lists!$C$43),$J19,"")</f>
        <v/>
      </c>
      <c r="P19" s="545">
        <f>IF(AND($K19=Lists!$C$22,$L19=Lists!$C$41),$J19,"")</f>
        <v>0</v>
      </c>
      <c r="Q19" s="545" t="str">
        <f>IF(AND($K19=Lists!$C$22,$L19=Lists!$C$42),$J19,"")</f>
        <v/>
      </c>
      <c r="R19" s="545" t="str">
        <f>IF(AND($K19=Lists!$C$22,$L19=Lists!$C$43),$J19,"")</f>
        <v/>
      </c>
      <c r="S19" s="545" t="str">
        <f>IF(AND($K19=Lists!$C$23,$L19=Lists!$C$41),$J19,"")</f>
        <v/>
      </c>
      <c r="T19" s="545" t="str">
        <f>IF(AND($K19=Lists!$C$23,$L19=Lists!$C$42),$J19,"")</f>
        <v/>
      </c>
      <c r="U19" s="545" t="str">
        <f>IF(AND($K19=Lists!$C$23,$L19=Lists!$C$43),$J19,"")</f>
        <v/>
      </c>
    </row>
    <row r="20" spans="1:21">
      <c r="A20" s="532"/>
      <c r="B20" s="137"/>
      <c r="C20" s="139"/>
      <c r="D20" s="57" t="s">
        <v>122</v>
      </c>
      <c r="E20" s="57" t="s">
        <v>243</v>
      </c>
      <c r="F20" s="55"/>
      <c r="G20" s="55"/>
      <c r="H20" s="545">
        <f t="shared" si="0"/>
        <v>0</v>
      </c>
      <c r="I20" s="55"/>
      <c r="J20" s="545">
        <f t="shared" si="1"/>
        <v>0</v>
      </c>
      <c r="K20" s="56" t="s">
        <v>1855</v>
      </c>
      <c r="L20" s="56" t="s">
        <v>133</v>
      </c>
      <c r="M20" s="545" t="str">
        <f>IF(AND($K20=Lists!$C$21,$L20=Lists!$C$41),$J20,"")</f>
        <v/>
      </c>
      <c r="N20" s="545" t="str">
        <f>IF(AND($K20=Lists!$C$21,$L20=Lists!$C$42),$J20,"")</f>
        <v/>
      </c>
      <c r="O20" s="545" t="str">
        <f>IF(AND($K20=Lists!$C$21,$L20=Lists!$C$43),$J20,"")</f>
        <v/>
      </c>
      <c r="P20" s="545" t="str">
        <f>IF(AND($K20=Lists!$C$22,$L20=Lists!$C$41),$J20,"")</f>
        <v/>
      </c>
      <c r="Q20" s="545">
        <f>IF(AND($K20=Lists!$C$22,$L20=Lists!$C$42),$J20,"")</f>
        <v>0</v>
      </c>
      <c r="R20" s="545" t="str">
        <f>IF(AND($K20=Lists!$C$22,$L20=Lists!$C$43),$J20,"")</f>
        <v/>
      </c>
      <c r="S20" s="545" t="str">
        <f>IF(AND($K20=Lists!$C$23,$L20=Lists!$C$41),$J20,"")</f>
        <v/>
      </c>
      <c r="T20" s="545" t="str">
        <f>IF(AND($K20=Lists!$C$23,$L20=Lists!$C$42),$J20,"")</f>
        <v/>
      </c>
      <c r="U20" s="545" t="str">
        <f>IF(AND($K20=Lists!$C$23,$L20=Lists!$C$43),$J20,"")</f>
        <v/>
      </c>
    </row>
    <row r="21" spans="1:21">
      <c r="A21" s="532"/>
      <c r="B21" s="137"/>
      <c r="C21" s="139"/>
      <c r="D21" s="57" t="s">
        <v>122</v>
      </c>
      <c r="E21" s="57" t="s">
        <v>243</v>
      </c>
      <c r="F21" s="55"/>
      <c r="G21" s="55"/>
      <c r="H21" s="545">
        <f t="shared" si="0"/>
        <v>0</v>
      </c>
      <c r="I21" s="55"/>
      <c r="J21" s="545">
        <f t="shared" si="1"/>
        <v>0</v>
      </c>
      <c r="K21" s="56" t="s">
        <v>1855</v>
      </c>
      <c r="L21" s="56" t="s">
        <v>99</v>
      </c>
      <c r="M21" s="545" t="str">
        <f>IF(AND($K21=Lists!$C$21,$L21=Lists!$C$41),$J21,"")</f>
        <v/>
      </c>
      <c r="N21" s="545" t="str">
        <f>IF(AND($K21=Lists!$C$21,$L21=Lists!$C$42),$J21,"")</f>
        <v/>
      </c>
      <c r="O21" s="545" t="str">
        <f>IF(AND($K21=Lists!$C$21,$L21=Lists!$C$43),$J21,"")</f>
        <v/>
      </c>
      <c r="P21" s="545" t="str">
        <f>IF(AND($K21=Lists!$C$22,$L21=Lists!$C$41),$J21,"")</f>
        <v/>
      </c>
      <c r="Q21" s="545" t="str">
        <f>IF(AND($K21=Lists!$C$22,$L21=Lists!$C$42),$J21,"")</f>
        <v/>
      </c>
      <c r="R21" s="545">
        <f>IF(AND($K21=Lists!$C$22,$L21=Lists!$C$43),$J21,"")</f>
        <v>0</v>
      </c>
      <c r="S21" s="545" t="str">
        <f>IF(AND($K21=Lists!$C$23,$L21=Lists!$C$41),$J21,"")</f>
        <v/>
      </c>
      <c r="T21" s="545" t="str">
        <f>IF(AND($K21=Lists!$C$23,$L21=Lists!$C$42),$J21,"")</f>
        <v/>
      </c>
      <c r="U21" s="545" t="str">
        <f>IF(AND($K21=Lists!$C$23,$L21=Lists!$C$43),$J21,"")</f>
        <v/>
      </c>
    </row>
    <row r="22" spans="1:21">
      <c r="A22" s="532"/>
      <c r="B22" s="137"/>
      <c r="C22" s="139"/>
      <c r="D22" s="57" t="s">
        <v>122</v>
      </c>
      <c r="E22" s="57" t="s">
        <v>243</v>
      </c>
      <c r="F22" s="55"/>
      <c r="G22" s="55"/>
      <c r="H22" s="545">
        <f t="shared" si="0"/>
        <v>0</v>
      </c>
      <c r="I22" s="55"/>
      <c r="J22" s="545">
        <f t="shared" si="1"/>
        <v>0</v>
      </c>
      <c r="K22" s="56" t="s">
        <v>1856</v>
      </c>
      <c r="L22" s="56" t="s">
        <v>124</v>
      </c>
      <c r="M22" s="545" t="str">
        <f>IF(AND($K22=Lists!$C$21,$L22=Lists!$C$41),$J22,"")</f>
        <v/>
      </c>
      <c r="N22" s="545" t="str">
        <f>IF(AND($K22=Lists!$C$21,$L22=Lists!$C$42),$J22,"")</f>
        <v/>
      </c>
      <c r="O22" s="545" t="str">
        <f>IF(AND($K22=Lists!$C$21,$L22=Lists!$C$43),$J22,"")</f>
        <v/>
      </c>
      <c r="P22" s="545" t="str">
        <f>IF(AND($K22=Lists!$C$22,$L22=Lists!$C$41),$J22,"")</f>
        <v/>
      </c>
      <c r="Q22" s="545" t="str">
        <f>IF(AND($K22=Lists!$C$22,$L22=Lists!$C$42),$J22,"")</f>
        <v/>
      </c>
      <c r="R22" s="545" t="str">
        <f>IF(AND($K22=Lists!$C$22,$L22=Lists!$C$43),$J22,"")</f>
        <v/>
      </c>
      <c r="S22" s="545">
        <f>IF(AND($K22=Lists!$C$23,$L22=Lists!$C$41),$J22,"")</f>
        <v>0</v>
      </c>
      <c r="T22" s="545" t="str">
        <f>IF(AND($K22=Lists!$C$23,$L22=Lists!$C$42),$J22,"")</f>
        <v/>
      </c>
      <c r="U22" s="545" t="str">
        <f>IF(AND($K22=Lists!$C$23,$L22=Lists!$C$43),$J22,"")</f>
        <v/>
      </c>
    </row>
    <row r="23" spans="1:21">
      <c r="A23" s="532"/>
      <c r="B23" s="137"/>
      <c r="C23" s="139"/>
      <c r="D23" s="57" t="s">
        <v>122</v>
      </c>
      <c r="E23" s="57" t="s">
        <v>243</v>
      </c>
      <c r="F23" s="55"/>
      <c r="G23" s="55"/>
      <c r="H23" s="545">
        <f t="shared" si="0"/>
        <v>0</v>
      </c>
      <c r="I23" s="55"/>
      <c r="J23" s="545">
        <f t="shared" si="1"/>
        <v>0</v>
      </c>
      <c r="K23" s="56" t="s">
        <v>1856</v>
      </c>
      <c r="L23" s="56" t="s">
        <v>133</v>
      </c>
      <c r="M23" s="545" t="str">
        <f>IF(AND($K23=Lists!$C$21,$L23=Lists!$C$41),$J23,"")</f>
        <v/>
      </c>
      <c r="N23" s="545" t="str">
        <f>IF(AND($K23=Lists!$C$21,$L23=Lists!$C$42),$J23,"")</f>
        <v/>
      </c>
      <c r="O23" s="545" t="str">
        <f>IF(AND($K23=Lists!$C$21,$L23=Lists!$C$43),$J23,"")</f>
        <v/>
      </c>
      <c r="P23" s="545" t="str">
        <f>IF(AND($K23=Lists!$C$22,$L23=Lists!$C$41),$J23,"")</f>
        <v/>
      </c>
      <c r="Q23" s="545" t="str">
        <f>IF(AND($K23=Lists!$C$22,$L23=Lists!$C$42),$J23,"")</f>
        <v/>
      </c>
      <c r="R23" s="545" t="str">
        <f>IF(AND($K23=Lists!$C$22,$L23=Lists!$C$43),$J23,"")</f>
        <v/>
      </c>
      <c r="S23" s="545" t="str">
        <f>IF(AND($K23=Lists!$C$23,$L23=Lists!$C$41),$J23,"")</f>
        <v/>
      </c>
      <c r="T23" s="545">
        <f>IF(AND($K23=Lists!$C$23,$L23=Lists!$C$42),$J23,"")</f>
        <v>0</v>
      </c>
      <c r="U23" s="545" t="str">
        <f>IF(AND($K23=Lists!$C$23,$L23=Lists!$C$43),$J23,"")</f>
        <v/>
      </c>
    </row>
    <row r="24" spans="1:21">
      <c r="A24" s="532"/>
      <c r="B24" s="137"/>
      <c r="C24" s="139"/>
      <c r="D24" s="57" t="s">
        <v>122</v>
      </c>
      <c r="E24" s="57" t="s">
        <v>243</v>
      </c>
      <c r="F24" s="55"/>
      <c r="G24" s="55"/>
      <c r="H24" s="545">
        <f t="shared" si="0"/>
        <v>0</v>
      </c>
      <c r="I24" s="55"/>
      <c r="J24" s="545">
        <f t="shared" si="1"/>
        <v>0</v>
      </c>
      <c r="K24" s="56" t="s">
        <v>1856</v>
      </c>
      <c r="L24" s="56" t="s">
        <v>99</v>
      </c>
      <c r="M24" s="545" t="str">
        <f>IF(AND($K24=Lists!$C$21,$L24=Lists!$C$41),$J24,"")</f>
        <v/>
      </c>
      <c r="N24" s="545" t="str">
        <f>IF(AND($K24=Lists!$C$21,$L24=Lists!$C$42),$J24,"")</f>
        <v/>
      </c>
      <c r="O24" s="545" t="str">
        <f>IF(AND($K24=Lists!$C$21,$L24=Lists!$C$43),$J24,"")</f>
        <v/>
      </c>
      <c r="P24" s="545" t="str">
        <f>IF(AND($K24=Lists!$C$22,$L24=Lists!$C$41),$J24,"")</f>
        <v/>
      </c>
      <c r="Q24" s="545" t="str">
        <f>IF(AND($K24=Lists!$C$22,$L24=Lists!$C$42),$J24,"")</f>
        <v/>
      </c>
      <c r="R24" s="545" t="str">
        <f>IF(AND($K24=Lists!$C$22,$L24=Lists!$C$43),$J24,"")</f>
        <v/>
      </c>
      <c r="S24" s="545" t="str">
        <f>IF(AND($K24=Lists!$C$23,$L24=Lists!$C$41),$J24,"")</f>
        <v/>
      </c>
      <c r="T24" s="545" t="str">
        <f>IF(AND($K24=Lists!$C$23,$L24=Lists!$C$42),$J24,"")</f>
        <v/>
      </c>
      <c r="U24" s="545">
        <f>IF(AND($K24=Lists!$C$23,$L24=Lists!$C$43),$J24,"")</f>
        <v>0</v>
      </c>
    </row>
    <row r="25" spans="1:21">
      <c r="A25" s="532"/>
      <c r="B25" s="137"/>
      <c r="C25" s="139"/>
      <c r="D25" s="57" t="s">
        <v>122</v>
      </c>
      <c r="E25" s="57" t="s">
        <v>242</v>
      </c>
      <c r="F25" s="55"/>
      <c r="G25" s="55"/>
      <c r="H25" s="545">
        <f t="shared" si="0"/>
        <v>0</v>
      </c>
      <c r="I25" s="55"/>
      <c r="J25" s="545">
        <f t="shared" si="1"/>
        <v>0</v>
      </c>
      <c r="K25" s="56" t="s">
        <v>148</v>
      </c>
      <c r="L25" s="56" t="s">
        <v>124</v>
      </c>
      <c r="M25" s="545">
        <f>IF(AND($K25=Lists!$C$21,$L25=Lists!$C$41),$J25,"")</f>
        <v>0</v>
      </c>
      <c r="N25" s="545" t="str">
        <f>IF(AND($K25=Lists!$C$21,$L25=Lists!$C$42),$J25,"")</f>
        <v/>
      </c>
      <c r="O25" s="545" t="str">
        <f>IF(AND($K25=Lists!$C$21,$L25=Lists!$C$43),$J25,"")</f>
        <v/>
      </c>
      <c r="P25" s="545" t="str">
        <f>IF(AND($K25=Lists!$C$22,$L25=Lists!$C$41),$J25,"")</f>
        <v/>
      </c>
      <c r="Q25" s="545" t="str">
        <f>IF(AND($K25=Lists!$C$22,$L25=Lists!$C$42),$J25,"")</f>
        <v/>
      </c>
      <c r="R25" s="545" t="str">
        <f>IF(AND($K25=Lists!$C$22,$L25=Lists!$C$43),$J25,"")</f>
        <v/>
      </c>
      <c r="S25" s="545" t="str">
        <f>IF(AND($K25=Lists!$C$23,$L25=Lists!$C$41),$J25,"")</f>
        <v/>
      </c>
      <c r="T25" s="545" t="str">
        <f>IF(AND($K25=Lists!$C$23,$L25=Lists!$C$42),$J25,"")</f>
        <v/>
      </c>
      <c r="U25" s="545" t="str">
        <f>IF(AND($K25=Lists!$C$23,$L25=Lists!$C$43),$J25,"")</f>
        <v/>
      </c>
    </row>
    <row r="26" spans="1:21">
      <c r="A26" s="532"/>
      <c r="B26" s="137"/>
      <c r="C26" s="139"/>
      <c r="D26" s="57" t="s">
        <v>122</v>
      </c>
      <c r="E26" s="57" t="s">
        <v>242</v>
      </c>
      <c r="F26" s="55"/>
      <c r="G26" s="55"/>
      <c r="H26" s="545">
        <f t="shared" si="0"/>
        <v>0</v>
      </c>
      <c r="I26" s="55"/>
      <c r="J26" s="545">
        <f t="shared" si="1"/>
        <v>0</v>
      </c>
      <c r="K26" s="56" t="s">
        <v>148</v>
      </c>
      <c r="L26" s="56" t="s">
        <v>133</v>
      </c>
      <c r="M26" s="545" t="str">
        <f>IF(AND($K26=Lists!$C$21,$L26=Lists!$C$41),$J26,"")</f>
        <v/>
      </c>
      <c r="N26" s="545">
        <f>IF(AND($K26=Lists!$C$21,$L26=Lists!$C$42),$J26,"")</f>
        <v>0</v>
      </c>
      <c r="O26" s="545" t="str">
        <f>IF(AND($K26=Lists!$C$21,$L26=Lists!$C$43),$J26,"")</f>
        <v/>
      </c>
      <c r="P26" s="545" t="str">
        <f>IF(AND($K26=Lists!$C$22,$L26=Lists!$C$41),$J26,"")</f>
        <v/>
      </c>
      <c r="Q26" s="545" t="str">
        <f>IF(AND($K26=Lists!$C$22,$L26=Lists!$C$42),$J26,"")</f>
        <v/>
      </c>
      <c r="R26" s="545" t="str">
        <f>IF(AND($K26=Lists!$C$22,$L26=Lists!$C$43),$J26,"")</f>
        <v/>
      </c>
      <c r="S26" s="545" t="str">
        <f>IF(AND($K26=Lists!$C$23,$L26=Lists!$C$41),$J26,"")</f>
        <v/>
      </c>
      <c r="T26" s="545" t="str">
        <f>IF(AND($K26=Lists!$C$23,$L26=Lists!$C$42),$J26,"")</f>
        <v/>
      </c>
      <c r="U26" s="545" t="str">
        <f>IF(AND($K26=Lists!$C$23,$L26=Lists!$C$43),$J26,"")</f>
        <v/>
      </c>
    </row>
    <row r="27" spans="1:21">
      <c r="A27" s="532"/>
      <c r="B27" s="137"/>
      <c r="C27" s="139"/>
      <c r="D27" s="57" t="s">
        <v>122</v>
      </c>
      <c r="E27" s="57" t="s">
        <v>242</v>
      </c>
      <c r="F27" s="55"/>
      <c r="G27" s="55"/>
      <c r="H27" s="545">
        <f t="shared" si="0"/>
        <v>0</v>
      </c>
      <c r="I27" s="55"/>
      <c r="J27" s="545">
        <f t="shared" si="1"/>
        <v>0</v>
      </c>
      <c r="K27" s="56" t="s">
        <v>148</v>
      </c>
      <c r="L27" s="56" t="s">
        <v>99</v>
      </c>
      <c r="M27" s="545" t="str">
        <f>IF(AND($K27=Lists!$C$21,$L27=Lists!$C$41),$J27,"")</f>
        <v/>
      </c>
      <c r="N27" s="545" t="str">
        <f>IF(AND($K27=Lists!$C$21,$L27=Lists!$C$42),$J27,"")</f>
        <v/>
      </c>
      <c r="O27" s="545">
        <f>IF(AND($K27=Lists!$C$21,$L27=Lists!$C$43),$J27,"")</f>
        <v>0</v>
      </c>
      <c r="P27" s="545" t="str">
        <f>IF(AND($K27=Lists!$C$22,$L27=Lists!$C$41),$J27,"")</f>
        <v/>
      </c>
      <c r="Q27" s="545" t="str">
        <f>IF(AND($K27=Lists!$C$22,$L27=Lists!$C$42),$J27,"")</f>
        <v/>
      </c>
      <c r="R27" s="545" t="str">
        <f>IF(AND($K27=Lists!$C$22,$L27=Lists!$C$43),$J27,"")</f>
        <v/>
      </c>
      <c r="S27" s="545" t="str">
        <f>IF(AND($K27=Lists!$C$23,$L27=Lists!$C$41),$J27,"")</f>
        <v/>
      </c>
      <c r="T27" s="545" t="str">
        <f>IF(AND($K27=Lists!$C$23,$L27=Lists!$C$42),$J27,"")</f>
        <v/>
      </c>
      <c r="U27" s="545" t="str">
        <f>IF(AND($K27=Lists!$C$23,$L27=Lists!$C$43),$J27,"")</f>
        <v/>
      </c>
    </row>
    <row r="28" spans="1:21">
      <c r="A28" s="532"/>
      <c r="B28" s="137"/>
      <c r="C28" s="139"/>
      <c r="D28" s="57" t="s">
        <v>122</v>
      </c>
      <c r="E28" s="57" t="s">
        <v>242</v>
      </c>
      <c r="F28" s="55"/>
      <c r="G28" s="55"/>
      <c r="H28" s="545">
        <f t="shared" si="0"/>
        <v>0</v>
      </c>
      <c r="I28" s="55"/>
      <c r="J28" s="545">
        <f t="shared" si="1"/>
        <v>0</v>
      </c>
      <c r="K28" s="56" t="s">
        <v>1855</v>
      </c>
      <c r="L28" s="56" t="s">
        <v>124</v>
      </c>
      <c r="M28" s="545" t="str">
        <f>IF(AND($K28=Lists!$C$21,$L28=Lists!$C$41),$J28,"")</f>
        <v/>
      </c>
      <c r="N28" s="545" t="str">
        <f>IF(AND($K28=Lists!$C$21,$L28=Lists!$C$42),$J28,"")</f>
        <v/>
      </c>
      <c r="O28" s="545" t="str">
        <f>IF(AND($K28=Lists!$C$21,$L28=Lists!$C$43),$J28,"")</f>
        <v/>
      </c>
      <c r="P28" s="545">
        <f>IF(AND($K28=Lists!$C$22,$L28=Lists!$C$41),$J28,"")</f>
        <v>0</v>
      </c>
      <c r="Q28" s="545" t="str">
        <f>IF(AND($K28=Lists!$C$22,$L28=Lists!$C$42),$J28,"")</f>
        <v/>
      </c>
      <c r="R28" s="545" t="str">
        <f>IF(AND($K28=Lists!$C$22,$L28=Lists!$C$43),$J28,"")</f>
        <v/>
      </c>
      <c r="S28" s="545" t="str">
        <f>IF(AND($K28=Lists!$C$23,$L28=Lists!$C$41),$J28,"")</f>
        <v/>
      </c>
      <c r="T28" s="545" t="str">
        <f>IF(AND($K28=Lists!$C$23,$L28=Lists!$C$42),$J28,"")</f>
        <v/>
      </c>
      <c r="U28" s="545" t="str">
        <f>IF(AND($K28=Lists!$C$23,$L28=Lists!$C$43),$J28,"")</f>
        <v/>
      </c>
    </row>
    <row r="29" spans="1:21">
      <c r="A29" s="532"/>
      <c r="B29" s="137"/>
      <c r="C29" s="139"/>
      <c r="D29" s="57" t="s">
        <v>122</v>
      </c>
      <c r="E29" s="57" t="s">
        <v>242</v>
      </c>
      <c r="F29" s="55"/>
      <c r="G29" s="55"/>
      <c r="H29" s="545">
        <f t="shared" si="0"/>
        <v>0</v>
      </c>
      <c r="I29" s="55"/>
      <c r="J29" s="545">
        <f t="shared" si="1"/>
        <v>0</v>
      </c>
      <c r="K29" s="56" t="s">
        <v>1855</v>
      </c>
      <c r="L29" s="56" t="s">
        <v>133</v>
      </c>
      <c r="M29" s="545" t="str">
        <f>IF(AND($K29=Lists!$C$21,$L29=Lists!$C$41),$J29,"")</f>
        <v/>
      </c>
      <c r="N29" s="545" t="str">
        <f>IF(AND($K29=Lists!$C$21,$L29=Lists!$C$42),$J29,"")</f>
        <v/>
      </c>
      <c r="O29" s="545" t="str">
        <f>IF(AND($K29=Lists!$C$21,$L29=Lists!$C$43),$J29,"")</f>
        <v/>
      </c>
      <c r="P29" s="545" t="str">
        <f>IF(AND($K29=Lists!$C$22,$L29=Lists!$C$41),$J29,"")</f>
        <v/>
      </c>
      <c r="Q29" s="545">
        <f>IF(AND($K29=Lists!$C$22,$L29=Lists!$C$42),$J29,"")</f>
        <v>0</v>
      </c>
      <c r="R29" s="545" t="str">
        <f>IF(AND($K29=Lists!$C$22,$L29=Lists!$C$43),$J29,"")</f>
        <v/>
      </c>
      <c r="S29" s="545" t="str">
        <f>IF(AND($K29=Lists!$C$23,$L29=Lists!$C$41),$J29,"")</f>
        <v/>
      </c>
      <c r="T29" s="545" t="str">
        <f>IF(AND($K29=Lists!$C$23,$L29=Lists!$C$42),$J29,"")</f>
        <v/>
      </c>
      <c r="U29" s="545" t="str">
        <f>IF(AND($K29=Lists!$C$23,$L29=Lists!$C$43),$J29,"")</f>
        <v/>
      </c>
    </row>
    <row r="30" spans="1:21">
      <c r="A30" s="532"/>
      <c r="B30" s="137"/>
      <c r="C30" s="139"/>
      <c r="D30" s="57" t="s">
        <v>122</v>
      </c>
      <c r="E30" s="57" t="s">
        <v>242</v>
      </c>
      <c r="F30" s="55"/>
      <c r="G30" s="55"/>
      <c r="H30" s="545">
        <f t="shared" si="0"/>
        <v>0</v>
      </c>
      <c r="I30" s="55"/>
      <c r="J30" s="545">
        <f t="shared" si="1"/>
        <v>0</v>
      </c>
      <c r="K30" s="56" t="s">
        <v>1855</v>
      </c>
      <c r="L30" s="56" t="s">
        <v>99</v>
      </c>
      <c r="M30" s="545" t="str">
        <f>IF(AND($K30=Lists!$C$21,$L30=Lists!$C$41),$J30,"")</f>
        <v/>
      </c>
      <c r="N30" s="545" t="str">
        <f>IF(AND($K30=Lists!$C$21,$L30=Lists!$C$42),$J30,"")</f>
        <v/>
      </c>
      <c r="O30" s="545" t="str">
        <f>IF(AND($K30=Lists!$C$21,$L30=Lists!$C$43),$J30,"")</f>
        <v/>
      </c>
      <c r="P30" s="545" t="str">
        <f>IF(AND($K30=Lists!$C$22,$L30=Lists!$C$41),$J30,"")</f>
        <v/>
      </c>
      <c r="Q30" s="545" t="str">
        <f>IF(AND($K30=Lists!$C$22,$L30=Lists!$C$42),$J30,"")</f>
        <v/>
      </c>
      <c r="R30" s="545">
        <f>IF(AND($K30=Lists!$C$22,$L30=Lists!$C$43),$J30,"")</f>
        <v>0</v>
      </c>
      <c r="S30" s="545" t="str">
        <f>IF(AND($K30=Lists!$C$23,$L30=Lists!$C$41),$J30,"")</f>
        <v/>
      </c>
      <c r="T30" s="545" t="str">
        <f>IF(AND($K30=Lists!$C$23,$L30=Lists!$C$42),$J30,"")</f>
        <v/>
      </c>
      <c r="U30" s="545" t="str">
        <f>IF(AND($K30=Lists!$C$23,$L30=Lists!$C$43),$J30,"")</f>
        <v/>
      </c>
    </row>
    <row r="31" spans="1:21">
      <c r="A31" s="532"/>
      <c r="B31" s="137"/>
      <c r="C31" s="139"/>
      <c r="D31" s="57" t="s">
        <v>122</v>
      </c>
      <c r="E31" s="57" t="s">
        <v>242</v>
      </c>
      <c r="F31" s="55"/>
      <c r="G31" s="55"/>
      <c r="H31" s="545">
        <f t="shared" si="0"/>
        <v>0</v>
      </c>
      <c r="I31" s="55"/>
      <c r="J31" s="545">
        <f t="shared" si="1"/>
        <v>0</v>
      </c>
      <c r="K31" s="56" t="s">
        <v>1856</v>
      </c>
      <c r="L31" s="56" t="s">
        <v>124</v>
      </c>
      <c r="M31" s="545" t="str">
        <f>IF(AND($K31=Lists!$C$21,$L31=Lists!$C$41),$J31,"")</f>
        <v/>
      </c>
      <c r="N31" s="545" t="str">
        <f>IF(AND($K31=Lists!$C$21,$L31=Lists!$C$42),$J31,"")</f>
        <v/>
      </c>
      <c r="O31" s="545" t="str">
        <f>IF(AND($K31=Lists!$C$21,$L31=Lists!$C$43),$J31,"")</f>
        <v/>
      </c>
      <c r="P31" s="545" t="str">
        <f>IF(AND($K31=Lists!$C$22,$L31=Lists!$C$41),$J31,"")</f>
        <v/>
      </c>
      <c r="Q31" s="545" t="str">
        <f>IF(AND($K31=Lists!$C$22,$L31=Lists!$C$42),$J31,"")</f>
        <v/>
      </c>
      <c r="R31" s="545" t="str">
        <f>IF(AND($K31=Lists!$C$22,$L31=Lists!$C$43),$J31,"")</f>
        <v/>
      </c>
      <c r="S31" s="545">
        <f>IF(AND($K31=Lists!$C$23,$L31=Lists!$C$41),$J31,"")</f>
        <v>0</v>
      </c>
      <c r="T31" s="545" t="str">
        <f>IF(AND($K31=Lists!$C$23,$L31=Lists!$C$42),$J31,"")</f>
        <v/>
      </c>
      <c r="U31" s="545" t="str">
        <f>IF(AND($K31=Lists!$C$23,$L31=Lists!$C$43),$J31,"")</f>
        <v/>
      </c>
    </row>
    <row r="32" spans="1:21">
      <c r="A32" s="532"/>
      <c r="B32" s="137"/>
      <c r="C32" s="139"/>
      <c r="D32" s="57" t="s">
        <v>122</v>
      </c>
      <c r="E32" s="57" t="s">
        <v>242</v>
      </c>
      <c r="F32" s="55"/>
      <c r="G32" s="55"/>
      <c r="H32" s="545">
        <f t="shared" si="0"/>
        <v>0</v>
      </c>
      <c r="I32" s="55"/>
      <c r="J32" s="545">
        <f t="shared" si="1"/>
        <v>0</v>
      </c>
      <c r="K32" s="56" t="s">
        <v>1856</v>
      </c>
      <c r="L32" s="56" t="s">
        <v>133</v>
      </c>
      <c r="M32" s="545" t="str">
        <f>IF(AND($K32=Lists!$C$21,$L32=Lists!$C$41),$J32,"")</f>
        <v/>
      </c>
      <c r="N32" s="545" t="str">
        <f>IF(AND($K32=Lists!$C$21,$L32=Lists!$C$42),$J32,"")</f>
        <v/>
      </c>
      <c r="O32" s="545" t="str">
        <f>IF(AND($K32=Lists!$C$21,$L32=Lists!$C$43),$J32,"")</f>
        <v/>
      </c>
      <c r="P32" s="545" t="str">
        <f>IF(AND($K32=Lists!$C$22,$L32=Lists!$C$41),$J32,"")</f>
        <v/>
      </c>
      <c r="Q32" s="545" t="str">
        <f>IF(AND($K32=Lists!$C$22,$L32=Lists!$C$42),$J32,"")</f>
        <v/>
      </c>
      <c r="R32" s="545" t="str">
        <f>IF(AND($K32=Lists!$C$22,$L32=Lists!$C$43),$J32,"")</f>
        <v/>
      </c>
      <c r="S32" s="545" t="str">
        <f>IF(AND($K32=Lists!$C$23,$L32=Lists!$C$41),$J32,"")</f>
        <v/>
      </c>
      <c r="T32" s="545">
        <f>IF(AND($K32=Lists!$C$23,$L32=Lists!$C$42),$J32,"")</f>
        <v>0</v>
      </c>
      <c r="U32" s="545" t="str">
        <f>IF(AND($K32=Lists!$C$23,$L32=Lists!$C$43),$J32,"")</f>
        <v/>
      </c>
    </row>
    <row r="33" spans="1:21">
      <c r="A33" s="532"/>
      <c r="B33" s="137"/>
      <c r="C33" s="139"/>
      <c r="D33" s="57" t="s">
        <v>122</v>
      </c>
      <c r="E33" s="57" t="s">
        <v>242</v>
      </c>
      <c r="F33" s="55"/>
      <c r="G33" s="55"/>
      <c r="H33" s="545">
        <f t="shared" si="0"/>
        <v>0</v>
      </c>
      <c r="I33" s="55"/>
      <c r="J33" s="545">
        <f t="shared" si="1"/>
        <v>0</v>
      </c>
      <c r="K33" s="56" t="s">
        <v>1856</v>
      </c>
      <c r="L33" s="56" t="s">
        <v>99</v>
      </c>
      <c r="M33" s="545" t="str">
        <f>IF(AND($K33=Lists!$C$21,$L33=Lists!$C$41),$J33,"")</f>
        <v/>
      </c>
      <c r="N33" s="545" t="str">
        <f>IF(AND($K33=Lists!$C$21,$L33=Lists!$C$42),$J33,"")</f>
        <v/>
      </c>
      <c r="O33" s="545" t="str">
        <f>IF(AND($K33=Lists!$C$21,$L33=Lists!$C$43),$J33,"")</f>
        <v/>
      </c>
      <c r="P33" s="545" t="str">
        <f>IF(AND($K33=Lists!$C$22,$L33=Lists!$C$41),$J33,"")</f>
        <v/>
      </c>
      <c r="Q33" s="545" t="str">
        <f>IF(AND($K33=Lists!$C$22,$L33=Lists!$C$42),$J33,"")</f>
        <v/>
      </c>
      <c r="R33" s="545" t="str">
        <f>IF(AND($K33=Lists!$C$22,$L33=Lists!$C$43),$J33,"")</f>
        <v/>
      </c>
      <c r="S33" s="545" t="str">
        <f>IF(AND($K33=Lists!$C$23,$L33=Lists!$C$41),$J33,"")</f>
        <v/>
      </c>
      <c r="T33" s="545" t="str">
        <f>IF(AND($K33=Lists!$C$23,$L33=Lists!$C$42),$J33,"")</f>
        <v/>
      </c>
      <c r="U33" s="545">
        <f>IF(AND($K33=Lists!$C$23,$L33=Lists!$C$43),$J33,"")</f>
        <v>0</v>
      </c>
    </row>
    <row r="34" spans="1:21">
      <c r="A34" s="532"/>
      <c r="B34" s="137"/>
      <c r="C34" s="139"/>
      <c r="D34" s="57" t="s">
        <v>122</v>
      </c>
      <c r="E34" s="57" t="s">
        <v>242</v>
      </c>
      <c r="F34" s="55"/>
      <c r="G34" s="55"/>
      <c r="H34" s="545">
        <f t="shared" si="0"/>
        <v>0</v>
      </c>
      <c r="I34" s="55"/>
      <c r="J34" s="545">
        <f t="shared" si="1"/>
        <v>0</v>
      </c>
      <c r="K34" s="56" t="s">
        <v>148</v>
      </c>
      <c r="L34" s="56" t="s">
        <v>124</v>
      </c>
      <c r="M34" s="545">
        <f>IF(AND($K34=Lists!$C$21,$L34=Lists!$C$41),$J34,"")</f>
        <v>0</v>
      </c>
      <c r="N34" s="545" t="str">
        <f>IF(AND($K34=Lists!$C$21,$L34=Lists!$C$42),$J34,"")</f>
        <v/>
      </c>
      <c r="O34" s="545" t="str">
        <f>IF(AND($K34=Lists!$C$21,$L34=Lists!$C$43),$J34,"")</f>
        <v/>
      </c>
      <c r="P34" s="545" t="str">
        <f>IF(AND($K34=Lists!$C$22,$L34=Lists!$C$41),$J34,"")</f>
        <v/>
      </c>
      <c r="Q34" s="545" t="str">
        <f>IF(AND($K34=Lists!$C$22,$L34=Lists!$C$42),$J34,"")</f>
        <v/>
      </c>
      <c r="R34" s="545" t="str">
        <f>IF(AND($K34=Lists!$C$22,$L34=Lists!$C$43),$J34,"")</f>
        <v/>
      </c>
      <c r="S34" s="545" t="str">
        <f>IF(AND($K34=Lists!$C$23,$L34=Lists!$C$41),$J34,"")</f>
        <v/>
      </c>
      <c r="T34" s="545" t="str">
        <f>IF(AND($K34=Lists!$C$23,$L34=Lists!$C$42),$J34,"")</f>
        <v/>
      </c>
      <c r="U34" s="545" t="str">
        <f>IF(AND($K34=Lists!$C$23,$L34=Lists!$C$43),$J34,"")</f>
        <v/>
      </c>
    </row>
    <row r="35" spans="1:21">
      <c r="A35" s="532"/>
      <c r="B35" s="137"/>
      <c r="C35" s="139"/>
      <c r="D35" s="57" t="s">
        <v>122</v>
      </c>
      <c r="E35" s="57" t="s">
        <v>1854</v>
      </c>
      <c r="F35" s="55"/>
      <c r="G35" s="55"/>
      <c r="H35" s="545">
        <f t="shared" si="0"/>
        <v>0</v>
      </c>
      <c r="I35" s="55"/>
      <c r="J35" s="545">
        <f t="shared" si="1"/>
        <v>0</v>
      </c>
      <c r="K35" s="56" t="s">
        <v>148</v>
      </c>
      <c r="L35" s="56" t="s">
        <v>124</v>
      </c>
      <c r="M35" s="545">
        <f>IF(AND($K35=Lists!$C$21,$L35=Lists!$C$41),$J35,"")</f>
        <v>0</v>
      </c>
      <c r="N35" s="545" t="str">
        <f>IF(AND($K35=Lists!$C$21,$L35=Lists!$C$42),$J35,"")</f>
        <v/>
      </c>
      <c r="O35" s="545" t="str">
        <f>IF(AND($K35=Lists!$C$21,$L35=Lists!$C$43),$J35,"")</f>
        <v/>
      </c>
      <c r="P35" s="545" t="str">
        <f>IF(AND($K35=Lists!$C$22,$L35=Lists!$C$41),$J35,"")</f>
        <v/>
      </c>
      <c r="Q35" s="545" t="str">
        <f>IF(AND($K35=Lists!$C$22,$L35=Lists!$C$42),$J35,"")</f>
        <v/>
      </c>
      <c r="R35" s="545" t="str">
        <f>IF(AND($K35=Lists!$C$22,$L35=Lists!$C$43),$J35,"")</f>
        <v/>
      </c>
      <c r="S35" s="545" t="str">
        <f>IF(AND($K35=Lists!$C$23,$L35=Lists!$C$41),$J35,"")</f>
        <v/>
      </c>
      <c r="T35" s="545" t="str">
        <f>IF(AND($K35=Lists!$C$23,$L35=Lists!$C$42),$J35,"")</f>
        <v/>
      </c>
      <c r="U35" s="545" t="str">
        <f>IF(AND($K35=Lists!$C$23,$L35=Lists!$C$43),$J35,"")</f>
        <v/>
      </c>
    </row>
    <row r="36" spans="1:21">
      <c r="A36" s="532"/>
      <c r="B36" s="137"/>
      <c r="C36" s="139"/>
      <c r="D36" s="57" t="s">
        <v>122</v>
      </c>
      <c r="E36" s="57" t="s">
        <v>1854</v>
      </c>
      <c r="F36" s="55"/>
      <c r="G36" s="55"/>
      <c r="H36" s="545">
        <f t="shared" si="0"/>
        <v>0</v>
      </c>
      <c r="I36" s="55"/>
      <c r="J36" s="545">
        <f t="shared" si="1"/>
        <v>0</v>
      </c>
      <c r="K36" s="56" t="s">
        <v>148</v>
      </c>
      <c r="L36" s="56" t="s">
        <v>124</v>
      </c>
      <c r="M36" s="545">
        <f>IF(AND($K36=Lists!$C$21,$L36=Lists!$C$41),$J36,"")</f>
        <v>0</v>
      </c>
      <c r="N36" s="545" t="str">
        <f>IF(AND($K36=Lists!$C$21,$L36=Lists!$C$42),$J36,"")</f>
        <v/>
      </c>
      <c r="O36" s="545" t="str">
        <f>IF(AND($K36=Lists!$C$21,$L36=Lists!$C$43),$J36,"")</f>
        <v/>
      </c>
      <c r="P36" s="545" t="str">
        <f>IF(AND($K36=Lists!$C$22,$L36=Lists!$C$41),$J36,"")</f>
        <v/>
      </c>
      <c r="Q36" s="545" t="str">
        <f>IF(AND($K36=Lists!$C$22,$L36=Lists!$C$42),$J36,"")</f>
        <v/>
      </c>
      <c r="R36" s="545" t="str">
        <f>IF(AND($K36=Lists!$C$22,$L36=Lists!$C$43),$J36,"")</f>
        <v/>
      </c>
      <c r="S36" s="545" t="str">
        <f>IF(AND($K36=Lists!$C$23,$L36=Lists!$C$41),$J36,"")</f>
        <v/>
      </c>
      <c r="T36" s="545" t="str">
        <f>IF(AND($K36=Lists!$C$23,$L36=Lists!$C$42),$J36,"")</f>
        <v/>
      </c>
      <c r="U36" s="545" t="str">
        <f>IF(AND($K36=Lists!$C$23,$L36=Lists!$C$43),$J36,"")</f>
        <v/>
      </c>
    </row>
    <row r="37" spans="1:21">
      <c r="A37" s="532"/>
      <c r="B37" s="137"/>
      <c r="C37" s="139"/>
      <c r="D37" s="57" t="s">
        <v>122</v>
      </c>
      <c r="E37" s="57" t="s">
        <v>1854</v>
      </c>
      <c r="F37" s="55"/>
      <c r="G37" s="55"/>
      <c r="H37" s="545">
        <f t="shared" si="0"/>
        <v>0</v>
      </c>
      <c r="I37" s="55"/>
      <c r="J37" s="545">
        <f t="shared" si="1"/>
        <v>0</v>
      </c>
      <c r="K37" s="56" t="s">
        <v>148</v>
      </c>
      <c r="L37" s="56" t="s">
        <v>124</v>
      </c>
      <c r="M37" s="545">
        <f>IF(AND($K37=Lists!$C$21,$L37=Lists!$C$41),$J37,"")</f>
        <v>0</v>
      </c>
      <c r="N37" s="545" t="str">
        <f>IF(AND($K37=Lists!$C$21,$L37=Lists!$C$42),$J37,"")</f>
        <v/>
      </c>
      <c r="O37" s="545" t="str">
        <f>IF(AND($K37=Lists!$C$21,$L37=Lists!$C$43),$J37,"")</f>
        <v/>
      </c>
      <c r="P37" s="545" t="str">
        <f>IF(AND($K37=Lists!$C$22,$L37=Lists!$C$41),$J37,"")</f>
        <v/>
      </c>
      <c r="Q37" s="545" t="str">
        <f>IF(AND($K37=Lists!$C$22,$L37=Lists!$C$42),$J37,"")</f>
        <v/>
      </c>
      <c r="R37" s="545" t="str">
        <f>IF(AND($K37=Lists!$C$22,$L37=Lists!$C$43),$J37,"")</f>
        <v/>
      </c>
      <c r="S37" s="545" t="str">
        <f>IF(AND($K37=Lists!$C$23,$L37=Lists!$C$41),$J37,"")</f>
        <v/>
      </c>
      <c r="T37" s="545" t="str">
        <f>IF(AND($K37=Lists!$C$23,$L37=Lists!$C$42),$J37,"")</f>
        <v/>
      </c>
      <c r="U37" s="545" t="str">
        <f>IF(AND($K37=Lists!$C$23,$L37=Lists!$C$43),$J37,"")</f>
        <v/>
      </c>
    </row>
    <row r="38" spans="1:21">
      <c r="A38" s="532"/>
      <c r="B38" s="137"/>
      <c r="C38" s="139"/>
      <c r="D38" s="57" t="s">
        <v>122</v>
      </c>
      <c r="E38" s="57" t="s">
        <v>1854</v>
      </c>
      <c r="F38" s="55"/>
      <c r="G38" s="55"/>
      <c r="H38" s="545">
        <f t="shared" si="0"/>
        <v>0</v>
      </c>
      <c r="I38" s="55"/>
      <c r="J38" s="545">
        <f t="shared" si="1"/>
        <v>0</v>
      </c>
      <c r="K38" s="56" t="s">
        <v>148</v>
      </c>
      <c r="L38" s="56" t="s">
        <v>124</v>
      </c>
      <c r="M38" s="545">
        <f>IF(AND($K38=Lists!$C$21,$L38=Lists!$C$41),$J38,"")</f>
        <v>0</v>
      </c>
      <c r="N38" s="545" t="str">
        <f>IF(AND($K38=Lists!$C$21,$L38=Lists!$C$42),$J38,"")</f>
        <v/>
      </c>
      <c r="O38" s="545" t="str">
        <f>IF(AND($K38=Lists!$C$21,$L38=Lists!$C$43),$J38,"")</f>
        <v/>
      </c>
      <c r="P38" s="545" t="str">
        <f>IF(AND($K38=Lists!$C$22,$L38=Lists!$C$41),$J38,"")</f>
        <v/>
      </c>
      <c r="Q38" s="545" t="str">
        <f>IF(AND($K38=Lists!$C$22,$L38=Lists!$C$42),$J38,"")</f>
        <v/>
      </c>
      <c r="R38" s="545" t="str">
        <f>IF(AND($K38=Lists!$C$22,$L38=Lists!$C$43),$J38,"")</f>
        <v/>
      </c>
      <c r="S38" s="545" t="str">
        <f>IF(AND($K38=Lists!$C$23,$L38=Lists!$C$41),$J38,"")</f>
        <v/>
      </c>
      <c r="T38" s="545" t="str">
        <f>IF(AND($K38=Lists!$C$23,$L38=Lists!$C$42),$J38,"")</f>
        <v/>
      </c>
      <c r="U38" s="545" t="str">
        <f>IF(AND($K38=Lists!$C$23,$L38=Lists!$C$43),$J38,"")</f>
        <v/>
      </c>
    </row>
    <row r="39" spans="1:21">
      <c r="A39" s="532"/>
      <c r="B39" s="137"/>
      <c r="C39" s="139"/>
      <c r="D39" s="57" t="s">
        <v>122</v>
      </c>
      <c r="E39" s="57" t="s">
        <v>1854</v>
      </c>
      <c r="F39" s="55"/>
      <c r="G39" s="55"/>
      <c r="H39" s="545">
        <f t="shared" si="0"/>
        <v>0</v>
      </c>
      <c r="I39" s="55"/>
      <c r="J39" s="545">
        <f t="shared" si="1"/>
        <v>0</v>
      </c>
      <c r="K39" s="56" t="s">
        <v>148</v>
      </c>
      <c r="L39" s="56" t="s">
        <v>124</v>
      </c>
      <c r="M39" s="545">
        <f>IF(AND($K39=Lists!$C$21,$L39=Lists!$C$41),$J39,"")</f>
        <v>0</v>
      </c>
      <c r="N39" s="545" t="str">
        <f>IF(AND($K39=Lists!$C$21,$L39=Lists!$C$42),$J39,"")</f>
        <v/>
      </c>
      <c r="O39" s="545" t="str">
        <f>IF(AND($K39=Lists!$C$21,$L39=Lists!$C$43),$J39,"")</f>
        <v/>
      </c>
      <c r="P39" s="545" t="str">
        <f>IF(AND($K39=Lists!$C$22,$L39=Lists!$C$41),$J39,"")</f>
        <v/>
      </c>
      <c r="Q39" s="545" t="str">
        <f>IF(AND($K39=Lists!$C$22,$L39=Lists!$C$42),$J39,"")</f>
        <v/>
      </c>
      <c r="R39" s="545" t="str">
        <f>IF(AND($K39=Lists!$C$22,$L39=Lists!$C$43),$J39,"")</f>
        <v/>
      </c>
      <c r="S39" s="545" t="str">
        <f>IF(AND($K39=Lists!$C$23,$L39=Lists!$C$41),$J39,"")</f>
        <v/>
      </c>
      <c r="T39" s="545" t="str">
        <f>IF(AND($K39=Lists!$C$23,$L39=Lists!$C$42),$J39,"")</f>
        <v/>
      </c>
      <c r="U39" s="545" t="str">
        <f>IF(AND($K39=Lists!$C$23,$L39=Lists!$C$43),$J39,"")</f>
        <v/>
      </c>
    </row>
    <row r="40" spans="1:21">
      <c r="A40" s="532"/>
      <c r="B40" s="137"/>
      <c r="C40" s="139"/>
      <c r="D40" s="57" t="s">
        <v>122</v>
      </c>
      <c r="E40" s="57" t="s">
        <v>1854</v>
      </c>
      <c r="F40" s="55"/>
      <c r="G40" s="55"/>
      <c r="H40" s="545">
        <f t="shared" si="0"/>
        <v>0</v>
      </c>
      <c r="I40" s="55"/>
      <c r="J40" s="545">
        <f t="shared" si="1"/>
        <v>0</v>
      </c>
      <c r="K40" s="56" t="s">
        <v>148</v>
      </c>
      <c r="L40" s="56" t="s">
        <v>124</v>
      </c>
      <c r="M40" s="545">
        <f>IF(AND($K40=Lists!$C$21,$L40=Lists!$C$41),$J40,"")</f>
        <v>0</v>
      </c>
      <c r="N40" s="545" t="str">
        <f>IF(AND($K40=Lists!$C$21,$L40=Lists!$C$42),$J40,"")</f>
        <v/>
      </c>
      <c r="O40" s="545" t="str">
        <f>IF(AND($K40=Lists!$C$21,$L40=Lists!$C$43),$J40,"")</f>
        <v/>
      </c>
      <c r="P40" s="545" t="str">
        <f>IF(AND($K40=Lists!$C$22,$L40=Lists!$C$41),$J40,"")</f>
        <v/>
      </c>
      <c r="Q40" s="545" t="str">
        <f>IF(AND($K40=Lists!$C$22,$L40=Lists!$C$42),$J40,"")</f>
        <v/>
      </c>
      <c r="R40" s="545" t="str">
        <f>IF(AND($K40=Lists!$C$22,$L40=Lists!$C$43),$J40,"")</f>
        <v/>
      </c>
      <c r="S40" s="545" t="str">
        <f>IF(AND($K40=Lists!$C$23,$L40=Lists!$C$41),$J40,"")</f>
        <v/>
      </c>
      <c r="T40" s="545" t="str">
        <f>IF(AND($K40=Lists!$C$23,$L40=Lists!$C$42),$J40,"")</f>
        <v/>
      </c>
      <c r="U40" s="545" t="str">
        <f>IF(AND($K40=Lists!$C$23,$L40=Lists!$C$43),$J40,"")</f>
        <v/>
      </c>
    </row>
    <row r="41" spans="1:21">
      <c r="A41" s="532"/>
      <c r="B41" s="137"/>
      <c r="C41" s="139"/>
      <c r="D41" s="57" t="s">
        <v>122</v>
      </c>
      <c r="E41" s="57" t="s">
        <v>1854</v>
      </c>
      <c r="F41" s="55"/>
      <c r="G41" s="55"/>
      <c r="H41" s="545">
        <f t="shared" si="0"/>
        <v>0</v>
      </c>
      <c r="I41" s="55"/>
      <c r="J41" s="545">
        <f t="shared" si="1"/>
        <v>0</v>
      </c>
      <c r="K41" s="56" t="s">
        <v>148</v>
      </c>
      <c r="L41" s="56" t="s">
        <v>124</v>
      </c>
      <c r="M41" s="545">
        <f>IF(AND($K41=Lists!$C$21,$L41=Lists!$C$41),$J41,"")</f>
        <v>0</v>
      </c>
      <c r="N41" s="545" t="str">
        <f>IF(AND($K41=Lists!$C$21,$L41=Lists!$C$42),$J41,"")</f>
        <v/>
      </c>
      <c r="O41" s="545" t="str">
        <f>IF(AND($K41=Lists!$C$21,$L41=Lists!$C$43),$J41,"")</f>
        <v/>
      </c>
      <c r="P41" s="545" t="str">
        <f>IF(AND($K41=Lists!$C$22,$L41=Lists!$C$41),$J41,"")</f>
        <v/>
      </c>
      <c r="Q41" s="545" t="str">
        <f>IF(AND($K41=Lists!$C$22,$L41=Lists!$C$42),$J41,"")</f>
        <v/>
      </c>
      <c r="R41" s="545" t="str">
        <f>IF(AND($K41=Lists!$C$22,$L41=Lists!$C$43),$J41,"")</f>
        <v/>
      </c>
      <c r="S41" s="545" t="str">
        <f>IF(AND($K41=Lists!$C$23,$L41=Lists!$C$41),$J41,"")</f>
        <v/>
      </c>
      <c r="T41" s="545" t="str">
        <f>IF(AND($K41=Lists!$C$23,$L41=Lists!$C$42),$J41,"")</f>
        <v/>
      </c>
      <c r="U41" s="545" t="str">
        <f>IF(AND($K41=Lists!$C$23,$L41=Lists!$C$43),$J41,"")</f>
        <v/>
      </c>
    </row>
    <row r="42" spans="1:21">
      <c r="A42" s="532"/>
      <c r="B42" s="137"/>
      <c r="C42" s="139"/>
      <c r="D42" s="57" t="s">
        <v>122</v>
      </c>
      <c r="E42" s="57" t="s">
        <v>1854</v>
      </c>
      <c r="F42" s="55"/>
      <c r="G42" s="55"/>
      <c r="H42" s="545">
        <f t="shared" si="0"/>
        <v>0</v>
      </c>
      <c r="I42" s="55"/>
      <c r="J42" s="545">
        <f t="shared" si="1"/>
        <v>0</v>
      </c>
      <c r="K42" s="56" t="s">
        <v>148</v>
      </c>
      <c r="L42" s="56" t="s">
        <v>124</v>
      </c>
      <c r="M42" s="545">
        <f>IF(AND($K42=Lists!$C$21,$L42=Lists!$C$41),$J42,"")</f>
        <v>0</v>
      </c>
      <c r="N42" s="545" t="str">
        <f>IF(AND($K42=Lists!$C$21,$L42=Lists!$C$42),$J42,"")</f>
        <v/>
      </c>
      <c r="O42" s="545" t="str">
        <f>IF(AND($K42=Lists!$C$21,$L42=Lists!$C$43),$J42,"")</f>
        <v/>
      </c>
      <c r="P42" s="545" t="str">
        <f>IF(AND($K42=Lists!$C$22,$L42=Lists!$C$41),$J42,"")</f>
        <v/>
      </c>
      <c r="Q42" s="545" t="str">
        <f>IF(AND($K42=Lists!$C$22,$L42=Lists!$C$42),$J42,"")</f>
        <v/>
      </c>
      <c r="R42" s="545" t="str">
        <f>IF(AND($K42=Lists!$C$22,$L42=Lists!$C$43),$J42,"")</f>
        <v/>
      </c>
      <c r="S42" s="545" t="str">
        <f>IF(AND($K42=Lists!$C$23,$L42=Lists!$C$41),$J42,"")</f>
        <v/>
      </c>
      <c r="T42" s="545" t="str">
        <f>IF(AND($K42=Lists!$C$23,$L42=Lists!$C$42),$J42,"")</f>
        <v/>
      </c>
      <c r="U42" s="545" t="str">
        <f>IF(AND($K42=Lists!$C$23,$L42=Lists!$C$43),$J42,"")</f>
        <v/>
      </c>
    </row>
    <row r="43" spans="1:21">
      <c r="A43" s="532"/>
      <c r="B43" s="137"/>
      <c r="C43" s="139"/>
      <c r="D43" s="57" t="s">
        <v>122</v>
      </c>
      <c r="E43" s="57" t="s">
        <v>1854</v>
      </c>
      <c r="F43" s="55"/>
      <c r="G43" s="55"/>
      <c r="H43" s="545">
        <f t="shared" si="0"/>
        <v>0</v>
      </c>
      <c r="I43" s="55"/>
      <c r="J43" s="545">
        <f t="shared" si="1"/>
        <v>0</v>
      </c>
      <c r="K43" s="56" t="s">
        <v>148</v>
      </c>
      <c r="L43" s="56" t="s">
        <v>124</v>
      </c>
      <c r="M43" s="545">
        <f>IF(AND($K43=Lists!$C$21,$L43=Lists!$C$41),$J43,"")</f>
        <v>0</v>
      </c>
      <c r="N43" s="545" t="str">
        <f>IF(AND($K43=Lists!$C$21,$L43=Lists!$C$42),$J43,"")</f>
        <v/>
      </c>
      <c r="O43" s="545" t="str">
        <f>IF(AND($K43=Lists!$C$21,$L43=Lists!$C$43),$J43,"")</f>
        <v/>
      </c>
      <c r="P43" s="545" t="str">
        <f>IF(AND($K43=Lists!$C$22,$L43=Lists!$C$41),$J43,"")</f>
        <v/>
      </c>
      <c r="Q43" s="545" t="str">
        <f>IF(AND($K43=Lists!$C$22,$L43=Lists!$C$42),$J43,"")</f>
        <v/>
      </c>
      <c r="R43" s="545" t="str">
        <f>IF(AND($K43=Lists!$C$22,$L43=Lists!$C$43),$J43,"")</f>
        <v/>
      </c>
      <c r="S43" s="545" t="str">
        <f>IF(AND($K43=Lists!$C$23,$L43=Lists!$C$41),$J43,"")</f>
        <v/>
      </c>
      <c r="T43" s="545" t="str">
        <f>IF(AND($K43=Lists!$C$23,$L43=Lists!$C$42),$J43,"")</f>
        <v/>
      </c>
      <c r="U43" s="545" t="str">
        <f>IF(AND($K43=Lists!$C$23,$L43=Lists!$C$43),$J43,"")</f>
        <v/>
      </c>
    </row>
    <row r="44" spans="1:21">
      <c r="A44" s="532"/>
      <c r="B44" s="137"/>
      <c r="C44" s="139"/>
      <c r="D44" s="57" t="s">
        <v>122</v>
      </c>
      <c r="E44" s="57" t="s">
        <v>1854</v>
      </c>
      <c r="F44" s="55"/>
      <c r="G44" s="55"/>
      <c r="H44" s="545">
        <f t="shared" si="0"/>
        <v>0</v>
      </c>
      <c r="I44" s="55"/>
      <c r="J44" s="545">
        <f t="shared" si="1"/>
        <v>0</v>
      </c>
      <c r="K44" s="56" t="s">
        <v>148</v>
      </c>
      <c r="L44" s="56" t="s">
        <v>124</v>
      </c>
      <c r="M44" s="545">
        <f>IF(AND($K44=Lists!$C$21,$L44=Lists!$C$41),$J44,"")</f>
        <v>0</v>
      </c>
      <c r="N44" s="545" t="str">
        <f>IF(AND($K44=Lists!$C$21,$L44=Lists!$C$42),$J44,"")</f>
        <v/>
      </c>
      <c r="O44" s="545" t="str">
        <f>IF(AND($K44=Lists!$C$21,$L44=Lists!$C$43),$J44,"")</f>
        <v/>
      </c>
      <c r="P44" s="545" t="str">
        <f>IF(AND($K44=Lists!$C$22,$L44=Lists!$C$41),$J44,"")</f>
        <v/>
      </c>
      <c r="Q44" s="545" t="str">
        <f>IF(AND($K44=Lists!$C$22,$L44=Lists!$C$42),$J44,"")</f>
        <v/>
      </c>
      <c r="R44" s="545" t="str">
        <f>IF(AND($K44=Lists!$C$22,$L44=Lists!$C$43),$J44,"")</f>
        <v/>
      </c>
      <c r="S44" s="545" t="str">
        <f>IF(AND($K44=Lists!$C$23,$L44=Lists!$C$41),$J44,"")</f>
        <v/>
      </c>
      <c r="T44" s="545" t="str">
        <f>IF(AND($K44=Lists!$C$23,$L44=Lists!$C$42),$J44,"")</f>
        <v/>
      </c>
      <c r="U44" s="545" t="str">
        <f>IF(AND($K44=Lists!$C$23,$L44=Lists!$C$43),$J44,"")</f>
        <v/>
      </c>
    </row>
    <row r="45" spans="1:21">
      <c r="A45" s="532"/>
      <c r="B45" s="137"/>
      <c r="C45" s="139"/>
      <c r="D45" s="57" t="s">
        <v>122</v>
      </c>
      <c r="E45" s="57" t="s">
        <v>1854</v>
      </c>
      <c r="F45" s="55"/>
      <c r="G45" s="55"/>
      <c r="H45" s="545">
        <f t="shared" si="0"/>
        <v>0</v>
      </c>
      <c r="I45" s="55"/>
      <c r="J45" s="545">
        <f t="shared" si="1"/>
        <v>0</v>
      </c>
      <c r="K45" s="56" t="s">
        <v>148</v>
      </c>
      <c r="L45" s="56" t="s">
        <v>124</v>
      </c>
      <c r="M45" s="545">
        <f>IF(AND($K45=Lists!$C$21,$L45=Lists!$C$41),$J45,"")</f>
        <v>0</v>
      </c>
      <c r="N45" s="545" t="str">
        <f>IF(AND($K45=Lists!$C$21,$L45=Lists!$C$42),$J45,"")</f>
        <v/>
      </c>
      <c r="O45" s="545" t="str">
        <f>IF(AND($K45=Lists!$C$21,$L45=Lists!$C$43),$J45,"")</f>
        <v/>
      </c>
      <c r="P45" s="545" t="str">
        <f>IF(AND($K45=Lists!$C$22,$L45=Lists!$C$41),$J45,"")</f>
        <v/>
      </c>
      <c r="Q45" s="545" t="str">
        <f>IF(AND($K45=Lists!$C$22,$L45=Lists!$C$42),$J45,"")</f>
        <v/>
      </c>
      <c r="R45" s="545" t="str">
        <f>IF(AND($K45=Lists!$C$22,$L45=Lists!$C$43),$J45,"")</f>
        <v/>
      </c>
      <c r="S45" s="545" t="str">
        <f>IF(AND($K45=Lists!$C$23,$L45=Lists!$C$41),$J45,"")</f>
        <v/>
      </c>
      <c r="T45" s="545" t="str">
        <f>IF(AND($K45=Lists!$C$23,$L45=Lists!$C$42),$J45,"")</f>
        <v/>
      </c>
      <c r="U45" s="545" t="str">
        <f>IF(AND($K45=Lists!$C$23,$L45=Lists!$C$43),$J45,"")</f>
        <v/>
      </c>
    </row>
    <row r="46" spans="1:21">
      <c r="A46" s="532"/>
      <c r="B46" s="137"/>
      <c r="C46" s="139"/>
      <c r="D46" s="57" t="s">
        <v>122</v>
      </c>
      <c r="E46" s="57" t="s">
        <v>1854</v>
      </c>
      <c r="F46" s="55"/>
      <c r="G46" s="55"/>
      <c r="H46" s="545">
        <f t="shared" si="0"/>
        <v>0</v>
      </c>
      <c r="I46" s="55"/>
      <c r="J46" s="545">
        <f t="shared" si="1"/>
        <v>0</v>
      </c>
      <c r="K46" s="56" t="s">
        <v>148</v>
      </c>
      <c r="L46" s="56" t="s">
        <v>124</v>
      </c>
      <c r="M46" s="545">
        <f>IF(AND($K46=Lists!$C$21,$L46=Lists!$C$41),$J46,"")</f>
        <v>0</v>
      </c>
      <c r="N46" s="545" t="str">
        <f>IF(AND($K46=Lists!$C$21,$L46=Lists!$C$42),$J46,"")</f>
        <v/>
      </c>
      <c r="O46" s="545" t="str">
        <f>IF(AND($K46=Lists!$C$21,$L46=Lists!$C$43),$J46,"")</f>
        <v/>
      </c>
      <c r="P46" s="545" t="str">
        <f>IF(AND($K46=Lists!$C$22,$L46=Lists!$C$41),$J46,"")</f>
        <v/>
      </c>
      <c r="Q46" s="545" t="str">
        <f>IF(AND($K46=Lists!$C$22,$L46=Lists!$C$42),$J46,"")</f>
        <v/>
      </c>
      <c r="R46" s="545" t="str">
        <f>IF(AND($K46=Lists!$C$22,$L46=Lists!$C$43),$J46,"")</f>
        <v/>
      </c>
      <c r="S46" s="545" t="str">
        <f>IF(AND($K46=Lists!$C$23,$L46=Lists!$C$41),$J46,"")</f>
        <v/>
      </c>
      <c r="T46" s="545" t="str">
        <f>IF(AND($K46=Lists!$C$23,$L46=Lists!$C$42),$J46,"")</f>
        <v/>
      </c>
      <c r="U46" s="545" t="str">
        <f>IF(AND($K46=Lists!$C$23,$L46=Lists!$C$43),$J46,"")</f>
        <v/>
      </c>
    </row>
    <row r="47" spans="1:21">
      <c r="A47" s="532"/>
      <c r="B47" s="137"/>
      <c r="C47" s="139"/>
      <c r="D47" s="57" t="s">
        <v>122</v>
      </c>
      <c r="E47" s="57" t="s">
        <v>1854</v>
      </c>
      <c r="F47" s="55"/>
      <c r="G47" s="55"/>
      <c r="H47" s="545">
        <f t="shared" si="0"/>
        <v>0</v>
      </c>
      <c r="I47" s="55"/>
      <c r="J47" s="545">
        <f t="shared" si="1"/>
        <v>0</v>
      </c>
      <c r="K47" s="56" t="s">
        <v>148</v>
      </c>
      <c r="L47" s="56" t="s">
        <v>124</v>
      </c>
      <c r="M47" s="545">
        <f>IF(AND($K47=Lists!$C$21,$L47=Lists!$C$41),$J47,"")</f>
        <v>0</v>
      </c>
      <c r="N47" s="545" t="str">
        <f>IF(AND($K47=Lists!$C$21,$L47=Lists!$C$42),$J47,"")</f>
        <v/>
      </c>
      <c r="O47" s="545" t="str">
        <f>IF(AND($K47=Lists!$C$21,$L47=Lists!$C$43),$J47,"")</f>
        <v/>
      </c>
      <c r="P47" s="545" t="str">
        <f>IF(AND($K47=Lists!$C$22,$L47=Lists!$C$41),$J47,"")</f>
        <v/>
      </c>
      <c r="Q47" s="545" t="str">
        <f>IF(AND($K47=Lists!$C$22,$L47=Lists!$C$42),$J47,"")</f>
        <v/>
      </c>
      <c r="R47" s="545" t="str">
        <f>IF(AND($K47=Lists!$C$22,$L47=Lists!$C$43),$J47,"")</f>
        <v/>
      </c>
      <c r="S47" s="545" t="str">
        <f>IF(AND($K47=Lists!$C$23,$L47=Lists!$C$41),$J47,"")</f>
        <v/>
      </c>
      <c r="T47" s="545" t="str">
        <f>IF(AND($K47=Lists!$C$23,$L47=Lists!$C$42),$J47,"")</f>
        <v/>
      </c>
      <c r="U47" s="545" t="str">
        <f>IF(AND($K47=Lists!$C$23,$L47=Lists!$C$43),$J47,"")</f>
        <v/>
      </c>
    </row>
    <row r="48" spans="1:21">
      <c r="A48" s="532"/>
      <c r="B48" s="137"/>
      <c r="C48" s="139"/>
      <c r="D48" s="57" t="s">
        <v>122</v>
      </c>
      <c r="E48" s="57" t="s">
        <v>1854</v>
      </c>
      <c r="F48" s="55"/>
      <c r="G48" s="55"/>
      <c r="H48" s="545">
        <f t="shared" si="0"/>
        <v>0</v>
      </c>
      <c r="I48" s="55"/>
      <c r="J48" s="545">
        <f t="shared" si="1"/>
        <v>0</v>
      </c>
      <c r="K48" s="56" t="s">
        <v>148</v>
      </c>
      <c r="L48" s="56" t="s">
        <v>124</v>
      </c>
      <c r="M48" s="545">
        <f>IF(AND($K48=Lists!$C$21,$L48=Lists!$C$41),$J48,"")</f>
        <v>0</v>
      </c>
      <c r="N48" s="545" t="str">
        <f>IF(AND($K48=Lists!$C$21,$L48=Lists!$C$42),$J48,"")</f>
        <v/>
      </c>
      <c r="O48" s="545" t="str">
        <f>IF(AND($K48=Lists!$C$21,$L48=Lists!$C$43),$J48,"")</f>
        <v/>
      </c>
      <c r="P48" s="545" t="str">
        <f>IF(AND($K48=Lists!$C$22,$L48=Lists!$C$41),$J48,"")</f>
        <v/>
      </c>
      <c r="Q48" s="545" t="str">
        <f>IF(AND($K48=Lists!$C$22,$L48=Lists!$C$42),$J48,"")</f>
        <v/>
      </c>
      <c r="R48" s="545" t="str">
        <f>IF(AND($K48=Lists!$C$22,$L48=Lists!$C$43),$J48,"")</f>
        <v/>
      </c>
      <c r="S48" s="545" t="str">
        <f>IF(AND($K48=Lists!$C$23,$L48=Lists!$C$41),$J48,"")</f>
        <v/>
      </c>
      <c r="T48" s="545" t="str">
        <f>IF(AND($K48=Lists!$C$23,$L48=Lists!$C$42),$J48,"")</f>
        <v/>
      </c>
      <c r="U48" s="545" t="str">
        <f>IF(AND($K48=Lists!$C$23,$L48=Lists!$C$43),$J48,"")</f>
        <v/>
      </c>
    </row>
    <row r="49" spans="1:21">
      <c r="A49" s="532"/>
      <c r="B49" s="137"/>
      <c r="C49" s="139"/>
      <c r="D49" s="57" t="s">
        <v>122</v>
      </c>
      <c r="E49" s="57" t="s">
        <v>1854</v>
      </c>
      <c r="F49" s="55"/>
      <c r="G49" s="55"/>
      <c r="H49" s="545">
        <f t="shared" si="0"/>
        <v>0</v>
      </c>
      <c r="I49" s="55"/>
      <c r="J49" s="545">
        <f t="shared" si="1"/>
        <v>0</v>
      </c>
      <c r="K49" s="56" t="s">
        <v>148</v>
      </c>
      <c r="L49" s="56" t="s">
        <v>124</v>
      </c>
      <c r="M49" s="545">
        <f>IF(AND($K49=Lists!$C$21,$L49=Lists!$C$41),$J49,"")</f>
        <v>0</v>
      </c>
      <c r="N49" s="545" t="str">
        <f>IF(AND($K49=Lists!$C$21,$L49=Lists!$C$42),$J49,"")</f>
        <v/>
      </c>
      <c r="O49" s="545" t="str">
        <f>IF(AND($K49=Lists!$C$21,$L49=Lists!$C$43),$J49,"")</f>
        <v/>
      </c>
      <c r="P49" s="545" t="str">
        <f>IF(AND($K49=Lists!$C$22,$L49=Lists!$C$41),$J49,"")</f>
        <v/>
      </c>
      <c r="Q49" s="545" t="str">
        <f>IF(AND($K49=Lists!$C$22,$L49=Lists!$C$42),$J49,"")</f>
        <v/>
      </c>
      <c r="R49" s="545" t="str">
        <f>IF(AND($K49=Lists!$C$22,$L49=Lists!$C$43),$J49,"")</f>
        <v/>
      </c>
      <c r="S49" s="545" t="str">
        <f>IF(AND($K49=Lists!$C$23,$L49=Lists!$C$41),$J49,"")</f>
        <v/>
      </c>
      <c r="T49" s="545" t="str">
        <f>IF(AND($K49=Lists!$C$23,$L49=Lists!$C$42),$J49,"")</f>
        <v/>
      </c>
      <c r="U49" s="545" t="str">
        <f>IF(AND($K49=Lists!$C$23,$L49=Lists!$C$43),$J49,"")</f>
        <v/>
      </c>
    </row>
    <row r="50" spans="1:21" ht="18" customHeight="1">
      <c r="A50" s="538"/>
      <c r="B50" s="539"/>
      <c r="C50" s="539"/>
      <c r="D50" s="539"/>
      <c r="E50" s="539"/>
      <c r="F50" s="540"/>
      <c r="G50" s="536"/>
      <c r="H50" s="540"/>
      <c r="I50" s="540"/>
      <c r="J50" s="540"/>
      <c r="K50" s="539"/>
      <c r="L50" s="539"/>
      <c r="M50" s="546"/>
      <c r="N50" s="546"/>
      <c r="O50" s="512"/>
      <c r="P50" s="512"/>
      <c r="Q50" s="512"/>
      <c r="R50" s="512"/>
      <c r="S50" s="512"/>
      <c r="T50" s="512"/>
      <c r="U50" s="512"/>
    </row>
    <row r="51" spans="1:21" ht="16.350000000000001" customHeight="1">
      <c r="B51" s="496"/>
      <c r="C51" s="526"/>
      <c r="D51" s="526"/>
      <c r="E51" s="526"/>
      <c r="F51" s="514">
        <f>SUM(F6:F50)</f>
        <v>0</v>
      </c>
      <c r="G51" s="536"/>
      <c r="H51" s="514">
        <f t="shared" ref="H51:J51" si="2">SUM(H6:H50)</f>
        <v>0</v>
      </c>
      <c r="I51" s="514">
        <f t="shared" si="2"/>
        <v>0</v>
      </c>
      <c r="J51" s="514">
        <f t="shared" si="2"/>
        <v>0</v>
      </c>
      <c r="K51" s="530"/>
      <c r="L51" s="505" t="s">
        <v>1857</v>
      </c>
      <c r="M51" s="547">
        <f>SUM(M6:M50)</f>
        <v>0</v>
      </c>
      <c r="N51" s="569">
        <f t="shared" ref="N51:R51" si="3">SUM(N6:N50)</f>
        <v>0</v>
      </c>
      <c r="O51" s="514">
        <f t="shared" si="3"/>
        <v>0</v>
      </c>
      <c r="P51" s="514">
        <f t="shared" si="3"/>
        <v>0</v>
      </c>
      <c r="Q51" s="514">
        <f t="shared" si="3"/>
        <v>0</v>
      </c>
      <c r="R51" s="514">
        <f t="shared" si="3"/>
        <v>0</v>
      </c>
      <c r="S51" s="514">
        <f t="shared" ref="S51:U51" si="4">SUM(S6:S50)</f>
        <v>0</v>
      </c>
      <c r="T51" s="514">
        <f t="shared" si="4"/>
        <v>0</v>
      </c>
      <c r="U51" s="514">
        <f t="shared" si="4"/>
        <v>0</v>
      </c>
    </row>
    <row r="52" spans="1:21" ht="16.350000000000001" customHeight="1">
      <c r="B52" s="496"/>
      <c r="C52" s="526"/>
      <c r="D52" s="526"/>
      <c r="E52" s="526"/>
      <c r="F52" s="526"/>
      <c r="G52" s="526"/>
      <c r="H52" s="526"/>
      <c r="I52" s="526"/>
      <c r="J52" s="526"/>
      <c r="K52" s="526"/>
      <c r="L52" s="505" t="s">
        <v>1844</v>
      </c>
      <c r="M52" s="136" t="s">
        <v>1858</v>
      </c>
      <c r="N52" s="136" t="s">
        <v>1858</v>
      </c>
      <c r="O52" s="136" t="s">
        <v>1858</v>
      </c>
      <c r="P52" s="136" t="s">
        <v>1858</v>
      </c>
      <c r="Q52" s="136" t="s">
        <v>1858</v>
      </c>
      <c r="R52" s="136" t="s">
        <v>1858</v>
      </c>
      <c r="S52" s="136" t="s">
        <v>1858</v>
      </c>
      <c r="T52" s="136" t="s">
        <v>1858</v>
      </c>
      <c r="U52" s="136" t="s">
        <v>1858</v>
      </c>
    </row>
    <row r="53" spans="1:21" ht="16.350000000000001" customHeight="1">
      <c r="B53" s="496"/>
      <c r="C53" s="496"/>
      <c r="D53" s="496"/>
      <c r="E53" s="496"/>
      <c r="F53" s="530"/>
      <c r="G53" s="530"/>
      <c r="H53" s="530"/>
      <c r="I53" s="530"/>
      <c r="J53" s="530"/>
      <c r="K53" s="530"/>
      <c r="L53" s="505" t="s">
        <v>1859</v>
      </c>
      <c r="M53" s="361">
        <f>VLOOKUP(M5,Subrates!$C$294:$D$302,Subrates!$D$1,FALSE)</f>
        <v>2055.6594574217693</v>
      </c>
      <c r="N53" s="361">
        <f>VLOOKUP(N5,Subrates!$C$294:$D$302,Subrates!$D$1,FALSE)</f>
        <v>4596.6594574217697</v>
      </c>
      <c r="O53" s="361">
        <f>VLOOKUP(O5,Subrates!$C$294:$D$302,Subrates!$D$1,FALSE)</f>
        <v>400.15945742176945</v>
      </c>
      <c r="P53" s="361">
        <f>VLOOKUP(P5,Subrates!$C$294:$D$302,Subrates!$D$1,FALSE)</f>
        <v>1852.9536938706483</v>
      </c>
      <c r="Q53" s="361">
        <f>VLOOKUP(Q5,Subrates!$C$294:$D$302,Subrates!$D$1,FALSE)</f>
        <v>4393.9536938706478</v>
      </c>
      <c r="R53" s="361">
        <f>VLOOKUP(R5,Subrates!$C$294:$D$302,Subrates!$D$1,FALSE)</f>
        <v>197.45369387064815</v>
      </c>
      <c r="S53" s="361">
        <f>VLOOKUP(S5,Subrates!$C$294:$D$302,Subrates!$D$1,FALSE)</f>
        <v>431.47983759120507</v>
      </c>
      <c r="T53" s="361">
        <f>VLOOKUP(T5,Subrates!$C$294:$D$302,Subrates!$D$1,FALSE)</f>
        <v>1066.7298375912051</v>
      </c>
      <c r="U53" s="361">
        <f>VLOOKUP(U5,Subrates!$C$294:$D$302,Subrates!$D$1,FALSE)</f>
        <v>17.604837591205055</v>
      </c>
    </row>
    <row r="54" spans="1:21" ht="16.350000000000001" customHeight="1">
      <c r="L54" s="505" t="s">
        <v>1152</v>
      </c>
      <c r="M54" s="570">
        <f>M51*M53</f>
        <v>0</v>
      </c>
      <c r="N54" s="570">
        <f t="shared" ref="N54:U54" si="5">N51*N53</f>
        <v>0</v>
      </c>
      <c r="O54" s="570">
        <f t="shared" si="5"/>
        <v>0</v>
      </c>
      <c r="P54" s="570">
        <f t="shared" si="5"/>
        <v>0</v>
      </c>
      <c r="Q54" s="570">
        <f t="shared" si="5"/>
        <v>0</v>
      </c>
      <c r="R54" s="570">
        <f t="shared" si="5"/>
        <v>0</v>
      </c>
      <c r="S54" s="570">
        <f t="shared" si="5"/>
        <v>0</v>
      </c>
      <c r="T54" s="570">
        <f t="shared" si="5"/>
        <v>0</v>
      </c>
      <c r="U54" s="570">
        <f t="shared" si="5"/>
        <v>0</v>
      </c>
    </row>
    <row r="55" spans="1:21" ht="16.350000000000001" customHeight="1"/>
  </sheetData>
  <sheetProtection algorithmName="SHA-512" hashValue="PB2hl9dhZeGIAP8Yn6q6NsZfZPzBmPBQy9kAur/5SAQWRkNWT2bgpN+stDMUetcEDKYGXTAoptIVeaDL9DdEVQ==" saltValue="cZvzM9zdbyGyiSOatVmnhg==" spinCount="100000" sheet="1" objects="1" scenarios="1" autoFilter="0"/>
  <dataValidations count="3">
    <dataValidation type="list" allowBlank="1" showInputMessage="1" showErrorMessage="1" sqref="K7:K49" xr:uid="{5624C02E-C272-4C70-880C-C69F663906AD}">
      <formula1>Pipeline_Rehab_Status</formula1>
    </dataValidation>
    <dataValidation type="list" allowBlank="1" showInputMessage="1" showErrorMessage="1" sqref="E7:E49" xr:uid="{105F18B4-E05E-4064-A8B3-71D5DFD0F379}">
      <formula1>Fluid</formula1>
    </dataValidation>
    <dataValidation type="list" allowBlank="1" showInputMessage="1" showErrorMessage="1" sqref="D7:D49" xr:uid="{794499E3-3A32-4CA3-A440-6A7DA345A65B}">
      <formula1>Pipe_ag_buried</formula1>
    </dataValidation>
  </dataValidations>
  <hyperlinks>
    <hyperlink ref="B3" location="CONTENTS" display="Contents" xr:uid="{E044A86A-87FF-4A12-B7FB-A5185EAA8386}"/>
    <hyperlink ref="M52" location="Pipelines_Subrates_Nme" display="Pipelines Subrates" xr:uid="{C741C139-E282-424F-8A44-B56ED28052A0}"/>
    <hyperlink ref="N52" location="Pipelines_Subrates_Nme" display="Pipelines Subrates" xr:uid="{C3F4808A-FC71-4405-B3F2-5ED5630FE50E}"/>
    <hyperlink ref="O52" location="Pipelines_Subrates_Nme" display="Pipelines Subrates" xr:uid="{0398A0AF-7276-4DF5-AB0A-E5C64E61B342}"/>
    <hyperlink ref="P52" location="Pipelines_Subrates_Nme" display="Pipelines Subrates" xr:uid="{585CCF43-B5BF-4E70-B9DD-E7AAF64F545F}"/>
    <hyperlink ref="Q52" location="Pipelines_Subrates_Nme" display="Pipelines Subrates" xr:uid="{1C6EE9B8-EF3F-4EF8-969B-B8453C15BCB4}"/>
    <hyperlink ref="R52" location="Pipelines_Subrates_Nme" display="Pipelines Subrates" xr:uid="{8D336705-23E5-4C87-BD30-DC4ED4BED73D}"/>
    <hyperlink ref="S52" location="Pipelines_Subrates_Nme" display="Pipelines Subrates" xr:uid="{A23919D2-14A2-40D7-B37A-8F871DA1971F}"/>
    <hyperlink ref="T52" location="Pipelines_Subrates_Nme" display="Pipelines Subrates" xr:uid="{6B7FDD22-C61B-4EA3-BB39-4B7D372A1A37}"/>
    <hyperlink ref="U52" location="Pipelines_Subrates_Nme" display="Pipelines Subrates" xr:uid="{42D2D11E-6772-4D22-8ECF-3D429387F911}"/>
  </hyperlink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3282B3C4-DB4C-46AC-AB0B-2806E77640A3}">
          <x14:formula1>
            <xm:f>Lists!$C$41:$C$43</xm:f>
          </x14:formula1>
          <xm:sqref>L7:L49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B5B02-E35E-4365-91A2-6136F01DDA8B}">
  <sheetPr codeName="Sheet57">
    <tabColor theme="9" tint="-0.499984740745262"/>
  </sheetPr>
  <dimension ref="A1:V173"/>
  <sheetViews>
    <sheetView showGridLines="0" topLeftCell="B1" zoomScaleNormal="100" workbookViewId="0">
      <pane xSplit="5" ySplit="4" topLeftCell="G5" activePane="bottomRight" state="frozen"/>
      <selection pane="topRight" activeCell="G1" sqref="G1"/>
      <selection pane="bottomLeft" activeCell="B5" sqref="B5"/>
      <selection pane="bottomRight"/>
    </sheetView>
  </sheetViews>
  <sheetFormatPr defaultColWidth="9.28515625" defaultRowHeight="12"/>
  <cols>
    <col min="1" max="1" width="1.42578125" style="494" customWidth="1"/>
    <col min="2" max="3" width="11.5703125" style="494" customWidth="1"/>
    <col min="4" max="4" width="59.5703125" style="494" customWidth="1"/>
    <col min="5" max="5" width="47.28515625" style="494" customWidth="1"/>
    <col min="6" max="6" width="18.7109375" style="497" customWidth="1"/>
    <col min="7" max="8" width="18.7109375" style="494" customWidth="1"/>
    <col min="9" max="9" width="18.7109375" style="497" customWidth="1"/>
    <col min="10" max="10" width="8.5703125" style="497" customWidth="1"/>
    <col min="11" max="12" width="18.7109375" style="497" customWidth="1"/>
    <col min="13" max="21" width="18.7109375" style="494" customWidth="1"/>
    <col min="22" max="22" width="16.5703125" style="494" customWidth="1"/>
    <col min="23" max="24" width="9.28515625" style="494"/>
    <col min="25" max="25" width="13.42578125" style="494" customWidth="1"/>
    <col min="26" max="16384" width="9.28515625" style="494"/>
  </cols>
  <sheetData>
    <row r="1" spans="1:22">
      <c r="A1" s="532"/>
      <c r="B1" s="533"/>
      <c r="C1" s="533"/>
      <c r="D1" s="533"/>
      <c r="E1" s="533"/>
      <c r="F1" s="533"/>
      <c r="G1" s="533"/>
      <c r="H1" s="533"/>
      <c r="I1" s="533"/>
      <c r="K1" s="559"/>
      <c r="L1" s="559"/>
      <c r="M1" s="559"/>
      <c r="N1" s="559"/>
      <c r="O1" s="559"/>
      <c r="P1" s="559"/>
      <c r="Q1" s="559"/>
      <c r="R1" s="559"/>
      <c r="S1" s="559"/>
      <c r="T1" s="559"/>
      <c r="U1" s="559"/>
    </row>
    <row r="2" spans="1:22" ht="16.350000000000001" customHeight="1">
      <c r="B2" s="225" t="str">
        <f>CONTENTS!$B$2</f>
        <v>Petroleum and Gas Estimated Rehabilitation Cost Calculator</v>
      </c>
      <c r="C2" s="495"/>
      <c r="E2" s="525" t="s">
        <v>1726</v>
      </c>
      <c r="F2" s="525" t="s">
        <v>1860</v>
      </c>
      <c r="G2" s="525" t="s">
        <v>1861</v>
      </c>
      <c r="H2" s="525" t="s">
        <v>1854</v>
      </c>
      <c r="I2" s="525" t="s">
        <v>1862</v>
      </c>
      <c r="J2" s="494"/>
      <c r="K2" s="525" t="s">
        <v>232</v>
      </c>
      <c r="L2" s="525" t="s">
        <v>1863</v>
      </c>
    </row>
    <row r="3" spans="1:22" ht="20.100000000000001" customHeight="1">
      <c r="B3" s="20" t="s">
        <v>305</v>
      </c>
      <c r="C3" s="571" t="s">
        <v>322</v>
      </c>
      <c r="D3" s="498"/>
      <c r="E3" s="572">
        <f>ERC</f>
        <v>0</v>
      </c>
      <c r="F3" s="572">
        <f>SUM(G32:I32,K32:U32)</f>
        <v>0</v>
      </c>
      <c r="G3" s="572">
        <f>SUM(G61:I61,K61:R61)</f>
        <v>0</v>
      </c>
      <c r="H3" s="572">
        <f>SUM(G149:I149,K149:Q149)</f>
        <v>0</v>
      </c>
      <c r="I3" s="572">
        <f>SUM(G168:I168,K168:L168)</f>
        <v>0</v>
      </c>
      <c r="J3" s="494"/>
      <c r="K3" s="572">
        <f>SUM(G90:I90,K90:R90)</f>
        <v>0</v>
      </c>
      <c r="L3" s="572">
        <f>SUM(G120:I120,K120:M120)</f>
        <v>0</v>
      </c>
    </row>
    <row r="4" spans="1:22" ht="16.350000000000001" customHeight="1">
      <c r="G4" s="497"/>
      <c r="H4" s="497"/>
      <c r="I4" s="494"/>
      <c r="J4" s="494"/>
      <c r="K4" s="494"/>
      <c r="L4" s="494"/>
    </row>
    <row r="5" spans="1:22" ht="16.350000000000001" customHeight="1">
      <c r="C5" s="571" t="s">
        <v>1864</v>
      </c>
      <c r="D5" s="498"/>
      <c r="G5" s="497"/>
      <c r="H5" s="497"/>
      <c r="I5" s="494"/>
      <c r="J5" s="494"/>
      <c r="K5" s="494"/>
      <c r="L5" s="494"/>
    </row>
    <row r="6" spans="1:22" ht="87" customHeight="1">
      <c r="A6" s="532"/>
      <c r="B6" s="509" t="s">
        <v>80</v>
      </c>
      <c r="C6" s="509" t="s">
        <v>439</v>
      </c>
      <c r="D6" s="509" t="s">
        <v>1774</v>
      </c>
      <c r="E6" s="509" t="s">
        <v>121</v>
      </c>
      <c r="F6" s="509" t="s">
        <v>149</v>
      </c>
      <c r="G6" s="509" t="s">
        <v>1865</v>
      </c>
      <c r="H6" s="509" t="s">
        <v>1866</v>
      </c>
      <c r="I6" s="509" t="s">
        <v>1867</v>
      </c>
      <c r="K6" s="509" t="str">
        <f>Lists!E354</f>
        <v>Stand-alone gas compressor</v>
      </c>
      <c r="L6" s="509" t="str">
        <f>Lists!F354</f>
        <v>Gas Processing Plant &gt; 0 and &lt;= 15 TJ/day</v>
      </c>
      <c r="M6" s="509" t="str">
        <f>Lists!G354</f>
        <v>Gas Processing Plant &gt; 15 and &lt;= 25 TJ/day</v>
      </c>
      <c r="N6" s="509" t="str">
        <f>Lists!H354</f>
        <v>Gas Processing Plant &gt; 25 and &lt;= 50 TJ/day</v>
      </c>
      <c r="O6" s="509" t="str">
        <f>Lists!I354</f>
        <v>Gas Processing Plant &gt; 50 and &lt;= 100 TJ/day</v>
      </c>
      <c r="P6" s="509" t="str">
        <f>Lists!J354</f>
        <v>Gas Processing Plant &gt; 100 and &lt;= 200 TJ/day</v>
      </c>
      <c r="Q6" s="509" t="str">
        <f>Lists!K354</f>
        <v>Gas Processing Plant &gt; 200 and &lt;= 300 TJ/day</v>
      </c>
      <c r="R6" s="509" t="str">
        <f>Lists!L354</f>
        <v>Gas Processing Plant &gt; 300 and &lt;= 400 TJ/day</v>
      </c>
      <c r="S6" s="509" t="str">
        <f>Lists!M354</f>
        <v>Gas Processing Plant &gt; 400 and &lt;= 500 TJ/day</v>
      </c>
      <c r="T6" s="509" t="str">
        <f>Lists!N354</f>
        <v>Gas Processing Plant &gt; 500 and &lt;= 750 TJ/day</v>
      </c>
      <c r="U6" s="509" t="str">
        <f>Lists!O354</f>
        <v>Gas Processing Plant &gt; 750 and &lt;= 1000 TJ/day</v>
      </c>
      <c r="V6" s="573">
        <v>1</v>
      </c>
    </row>
    <row r="7" spans="1:22" ht="18" customHeight="1">
      <c r="A7" s="532"/>
      <c r="B7" s="533"/>
      <c r="C7" s="533"/>
      <c r="E7" s="544" t="s">
        <v>1777</v>
      </c>
      <c r="F7" s="533" t="s">
        <v>80</v>
      </c>
      <c r="G7" s="533" t="s">
        <v>119</v>
      </c>
      <c r="H7" s="533" t="s">
        <v>119</v>
      </c>
      <c r="I7" s="533" t="s">
        <v>119</v>
      </c>
      <c r="M7" s="497"/>
      <c r="N7" s="497"/>
      <c r="O7" s="497"/>
      <c r="P7" s="497"/>
      <c r="Q7" s="497"/>
      <c r="R7" s="497"/>
      <c r="S7" s="497"/>
      <c r="T7" s="497"/>
      <c r="U7" s="497"/>
      <c r="V7" s="573">
        <f>V6+1</f>
        <v>2</v>
      </c>
    </row>
    <row r="8" spans="1:22">
      <c r="A8" s="532"/>
      <c r="B8" s="562">
        <v>1</v>
      </c>
      <c r="C8" s="138"/>
      <c r="D8" s="591"/>
      <c r="E8" s="57" t="s">
        <v>235</v>
      </c>
      <c r="F8" s="89"/>
      <c r="G8" s="55"/>
      <c r="H8" s="55"/>
      <c r="I8" s="55"/>
      <c r="J8" s="512"/>
      <c r="K8" s="574">
        <f t="shared" ref="K8:U18" si="0">IF($E8=K$6,$F8,"")</f>
        <v>0</v>
      </c>
      <c r="L8" s="574" t="str">
        <f t="shared" si="0"/>
        <v/>
      </c>
      <c r="M8" s="574" t="str">
        <f t="shared" si="0"/>
        <v/>
      </c>
      <c r="N8" s="574" t="str">
        <f t="shared" si="0"/>
        <v/>
      </c>
      <c r="O8" s="574" t="str">
        <f t="shared" si="0"/>
        <v/>
      </c>
      <c r="P8" s="574" t="str">
        <f t="shared" si="0"/>
        <v/>
      </c>
      <c r="Q8" s="574" t="str">
        <f t="shared" si="0"/>
        <v/>
      </c>
      <c r="R8" s="574" t="str">
        <f t="shared" si="0"/>
        <v/>
      </c>
      <c r="S8" s="574" t="str">
        <f t="shared" si="0"/>
        <v/>
      </c>
      <c r="T8" s="574" t="str">
        <f t="shared" si="0"/>
        <v/>
      </c>
      <c r="U8" s="574" t="str">
        <f t="shared" si="0"/>
        <v/>
      </c>
      <c r="V8" s="573">
        <f t="shared" ref="V8:V29" si="1">V7+1</f>
        <v>3</v>
      </c>
    </row>
    <row r="9" spans="1:22">
      <c r="A9" s="532"/>
      <c r="B9" s="562">
        <f>B8+1</f>
        <v>2</v>
      </c>
      <c r="C9" s="138"/>
      <c r="D9" s="591"/>
      <c r="E9" s="57" t="s">
        <v>1868</v>
      </c>
      <c r="F9" s="67"/>
      <c r="G9" s="55"/>
      <c r="H9" s="55"/>
      <c r="I9" s="55"/>
      <c r="J9" s="512"/>
      <c r="K9" s="574" t="str">
        <f t="shared" si="0"/>
        <v/>
      </c>
      <c r="L9" s="574">
        <f t="shared" si="0"/>
        <v>0</v>
      </c>
      <c r="M9" s="574" t="str">
        <f t="shared" si="0"/>
        <v/>
      </c>
      <c r="N9" s="574" t="str">
        <f t="shared" si="0"/>
        <v/>
      </c>
      <c r="O9" s="574" t="str">
        <f t="shared" si="0"/>
        <v/>
      </c>
      <c r="P9" s="574" t="str">
        <f t="shared" si="0"/>
        <v/>
      </c>
      <c r="Q9" s="574" t="str">
        <f t="shared" si="0"/>
        <v/>
      </c>
      <c r="R9" s="574" t="str">
        <f t="shared" si="0"/>
        <v/>
      </c>
      <c r="S9" s="574" t="str">
        <f t="shared" si="0"/>
        <v/>
      </c>
      <c r="T9" s="574" t="str">
        <f t="shared" si="0"/>
        <v/>
      </c>
      <c r="U9" s="574" t="str">
        <f t="shared" si="0"/>
        <v/>
      </c>
      <c r="V9" s="573">
        <f t="shared" si="1"/>
        <v>4</v>
      </c>
    </row>
    <row r="10" spans="1:22">
      <c r="A10" s="532"/>
      <c r="B10" s="562">
        <f t="shared" ref="B10:B27" si="2">B9+1</f>
        <v>3</v>
      </c>
      <c r="C10" s="138"/>
      <c r="D10" s="591"/>
      <c r="E10" s="57" t="s">
        <v>1869</v>
      </c>
      <c r="F10" s="67"/>
      <c r="G10" s="55"/>
      <c r="H10" s="55"/>
      <c r="I10" s="55"/>
      <c r="J10" s="512"/>
      <c r="K10" s="574" t="str">
        <f t="shared" si="0"/>
        <v/>
      </c>
      <c r="L10" s="574" t="str">
        <f t="shared" si="0"/>
        <v/>
      </c>
      <c r="M10" s="574">
        <f t="shared" si="0"/>
        <v>0</v>
      </c>
      <c r="N10" s="574" t="str">
        <f t="shared" si="0"/>
        <v/>
      </c>
      <c r="O10" s="574" t="str">
        <f t="shared" si="0"/>
        <v/>
      </c>
      <c r="P10" s="574" t="str">
        <f t="shared" si="0"/>
        <v/>
      </c>
      <c r="Q10" s="574" t="str">
        <f t="shared" si="0"/>
        <v/>
      </c>
      <c r="R10" s="574" t="str">
        <f t="shared" si="0"/>
        <v/>
      </c>
      <c r="S10" s="574" t="str">
        <f t="shared" si="0"/>
        <v/>
      </c>
      <c r="T10" s="574" t="str">
        <f t="shared" si="0"/>
        <v/>
      </c>
      <c r="U10" s="574" t="str">
        <f t="shared" si="0"/>
        <v/>
      </c>
      <c r="V10" s="573">
        <f t="shared" si="1"/>
        <v>5</v>
      </c>
    </row>
    <row r="11" spans="1:22">
      <c r="A11" s="532"/>
      <c r="B11" s="562">
        <f t="shared" si="2"/>
        <v>4</v>
      </c>
      <c r="C11" s="138"/>
      <c r="D11" s="591"/>
      <c r="E11" s="57" t="s">
        <v>1870</v>
      </c>
      <c r="F11" s="67"/>
      <c r="G11" s="55"/>
      <c r="H11" s="55"/>
      <c r="I11" s="55"/>
      <c r="J11" s="512"/>
      <c r="K11" s="574" t="str">
        <f t="shared" si="0"/>
        <v/>
      </c>
      <c r="L11" s="574" t="str">
        <f t="shared" si="0"/>
        <v/>
      </c>
      <c r="M11" s="574" t="str">
        <f t="shared" si="0"/>
        <v/>
      </c>
      <c r="N11" s="574">
        <f t="shared" si="0"/>
        <v>0</v>
      </c>
      <c r="O11" s="574" t="str">
        <f t="shared" si="0"/>
        <v/>
      </c>
      <c r="P11" s="574" t="str">
        <f t="shared" si="0"/>
        <v/>
      </c>
      <c r="Q11" s="574" t="str">
        <f t="shared" si="0"/>
        <v/>
      </c>
      <c r="R11" s="574" t="str">
        <f t="shared" si="0"/>
        <v/>
      </c>
      <c r="S11" s="574" t="str">
        <f t="shared" si="0"/>
        <v/>
      </c>
      <c r="T11" s="574" t="str">
        <f t="shared" si="0"/>
        <v/>
      </c>
      <c r="U11" s="574" t="str">
        <f t="shared" si="0"/>
        <v/>
      </c>
      <c r="V11" s="573">
        <f t="shared" si="1"/>
        <v>6</v>
      </c>
    </row>
    <row r="12" spans="1:22">
      <c r="A12" s="532"/>
      <c r="B12" s="562">
        <f t="shared" si="2"/>
        <v>5</v>
      </c>
      <c r="C12" s="138"/>
      <c r="D12" s="591"/>
      <c r="E12" s="57" t="s">
        <v>1871</v>
      </c>
      <c r="F12" s="67"/>
      <c r="G12" s="55"/>
      <c r="H12" s="55"/>
      <c r="I12" s="55"/>
      <c r="J12" s="512"/>
      <c r="K12" s="574" t="str">
        <f t="shared" si="0"/>
        <v/>
      </c>
      <c r="L12" s="574" t="str">
        <f t="shared" si="0"/>
        <v/>
      </c>
      <c r="M12" s="574" t="str">
        <f t="shared" si="0"/>
        <v/>
      </c>
      <c r="N12" s="574" t="str">
        <f t="shared" si="0"/>
        <v/>
      </c>
      <c r="O12" s="574">
        <f t="shared" si="0"/>
        <v>0</v>
      </c>
      <c r="P12" s="574" t="str">
        <f t="shared" si="0"/>
        <v/>
      </c>
      <c r="Q12" s="574" t="str">
        <f t="shared" si="0"/>
        <v/>
      </c>
      <c r="R12" s="574" t="str">
        <f t="shared" si="0"/>
        <v/>
      </c>
      <c r="S12" s="574" t="str">
        <f t="shared" si="0"/>
        <v/>
      </c>
      <c r="T12" s="574" t="str">
        <f t="shared" si="0"/>
        <v/>
      </c>
      <c r="U12" s="574" t="str">
        <f t="shared" si="0"/>
        <v/>
      </c>
      <c r="V12" s="573">
        <f t="shared" si="1"/>
        <v>7</v>
      </c>
    </row>
    <row r="13" spans="1:22">
      <c r="A13" s="532"/>
      <c r="B13" s="562">
        <f t="shared" si="2"/>
        <v>6</v>
      </c>
      <c r="C13" s="138"/>
      <c r="D13" s="591"/>
      <c r="E13" s="57" t="s">
        <v>1872</v>
      </c>
      <c r="F13" s="67"/>
      <c r="G13" s="55"/>
      <c r="H13" s="55"/>
      <c r="I13" s="55"/>
      <c r="J13" s="512"/>
      <c r="K13" s="574" t="str">
        <f t="shared" si="0"/>
        <v/>
      </c>
      <c r="L13" s="574" t="str">
        <f t="shared" si="0"/>
        <v/>
      </c>
      <c r="M13" s="574" t="str">
        <f t="shared" si="0"/>
        <v/>
      </c>
      <c r="N13" s="574" t="str">
        <f t="shared" si="0"/>
        <v/>
      </c>
      <c r="O13" s="574" t="str">
        <f t="shared" si="0"/>
        <v/>
      </c>
      <c r="P13" s="574">
        <f t="shared" si="0"/>
        <v>0</v>
      </c>
      <c r="Q13" s="574" t="str">
        <f t="shared" si="0"/>
        <v/>
      </c>
      <c r="R13" s="574" t="str">
        <f t="shared" si="0"/>
        <v/>
      </c>
      <c r="S13" s="574" t="str">
        <f t="shared" si="0"/>
        <v/>
      </c>
      <c r="T13" s="574" t="str">
        <f t="shared" si="0"/>
        <v/>
      </c>
      <c r="U13" s="574" t="str">
        <f t="shared" si="0"/>
        <v/>
      </c>
      <c r="V13" s="573">
        <f t="shared" si="1"/>
        <v>8</v>
      </c>
    </row>
    <row r="14" spans="1:22">
      <c r="A14" s="532"/>
      <c r="B14" s="562">
        <f t="shared" si="2"/>
        <v>7</v>
      </c>
      <c r="C14" s="138"/>
      <c r="D14" s="591"/>
      <c r="E14" s="57" t="s">
        <v>1873</v>
      </c>
      <c r="F14" s="67"/>
      <c r="G14" s="55"/>
      <c r="H14" s="55"/>
      <c r="I14" s="55"/>
      <c r="J14" s="512"/>
      <c r="K14" s="574" t="str">
        <f t="shared" si="0"/>
        <v/>
      </c>
      <c r="L14" s="574" t="str">
        <f t="shared" si="0"/>
        <v/>
      </c>
      <c r="M14" s="574" t="str">
        <f t="shared" si="0"/>
        <v/>
      </c>
      <c r="N14" s="574" t="str">
        <f t="shared" si="0"/>
        <v/>
      </c>
      <c r="O14" s="574" t="str">
        <f t="shared" si="0"/>
        <v/>
      </c>
      <c r="P14" s="574" t="str">
        <f t="shared" si="0"/>
        <v/>
      </c>
      <c r="Q14" s="574">
        <f t="shared" si="0"/>
        <v>0</v>
      </c>
      <c r="R14" s="574" t="str">
        <f t="shared" si="0"/>
        <v/>
      </c>
      <c r="S14" s="574" t="str">
        <f t="shared" si="0"/>
        <v/>
      </c>
      <c r="T14" s="574" t="str">
        <f t="shared" si="0"/>
        <v/>
      </c>
      <c r="U14" s="574" t="str">
        <f t="shared" si="0"/>
        <v/>
      </c>
      <c r="V14" s="573">
        <f t="shared" si="1"/>
        <v>9</v>
      </c>
    </row>
    <row r="15" spans="1:22">
      <c r="A15" s="532"/>
      <c r="B15" s="562">
        <f t="shared" si="2"/>
        <v>8</v>
      </c>
      <c r="C15" s="138"/>
      <c r="D15" s="591"/>
      <c r="E15" s="57" t="s">
        <v>1874</v>
      </c>
      <c r="F15" s="67"/>
      <c r="G15" s="55"/>
      <c r="H15" s="55"/>
      <c r="I15" s="55"/>
      <c r="J15" s="512"/>
      <c r="K15" s="574" t="str">
        <f t="shared" si="0"/>
        <v/>
      </c>
      <c r="L15" s="574" t="str">
        <f t="shared" si="0"/>
        <v/>
      </c>
      <c r="M15" s="574" t="str">
        <f t="shared" si="0"/>
        <v/>
      </c>
      <c r="N15" s="574" t="str">
        <f t="shared" si="0"/>
        <v/>
      </c>
      <c r="O15" s="574" t="str">
        <f t="shared" si="0"/>
        <v/>
      </c>
      <c r="P15" s="574" t="str">
        <f t="shared" si="0"/>
        <v/>
      </c>
      <c r="Q15" s="574" t="str">
        <f t="shared" si="0"/>
        <v/>
      </c>
      <c r="R15" s="574">
        <f t="shared" si="0"/>
        <v>0</v>
      </c>
      <c r="S15" s="574" t="str">
        <f t="shared" si="0"/>
        <v/>
      </c>
      <c r="T15" s="574" t="str">
        <f t="shared" si="0"/>
        <v/>
      </c>
      <c r="U15" s="574" t="str">
        <f t="shared" si="0"/>
        <v/>
      </c>
      <c r="V15" s="573">
        <f t="shared" si="1"/>
        <v>10</v>
      </c>
    </row>
    <row r="16" spans="1:22">
      <c r="A16" s="532"/>
      <c r="B16" s="562">
        <f t="shared" si="2"/>
        <v>9</v>
      </c>
      <c r="C16" s="138"/>
      <c r="D16" s="591"/>
      <c r="E16" s="57" t="s">
        <v>1875</v>
      </c>
      <c r="F16" s="67"/>
      <c r="G16" s="55"/>
      <c r="H16" s="55"/>
      <c r="I16" s="55"/>
      <c r="J16" s="512"/>
      <c r="K16" s="574" t="str">
        <f t="shared" si="0"/>
        <v/>
      </c>
      <c r="L16" s="574" t="str">
        <f t="shared" si="0"/>
        <v/>
      </c>
      <c r="M16" s="574" t="str">
        <f t="shared" si="0"/>
        <v/>
      </c>
      <c r="N16" s="574" t="str">
        <f t="shared" si="0"/>
        <v/>
      </c>
      <c r="O16" s="574" t="str">
        <f t="shared" si="0"/>
        <v/>
      </c>
      <c r="P16" s="574" t="str">
        <f t="shared" si="0"/>
        <v/>
      </c>
      <c r="Q16" s="574" t="str">
        <f t="shared" si="0"/>
        <v/>
      </c>
      <c r="R16" s="574" t="str">
        <f t="shared" si="0"/>
        <v/>
      </c>
      <c r="S16" s="574">
        <f t="shared" si="0"/>
        <v>0</v>
      </c>
      <c r="T16" s="574" t="str">
        <f t="shared" si="0"/>
        <v/>
      </c>
      <c r="U16" s="574" t="str">
        <f t="shared" si="0"/>
        <v/>
      </c>
      <c r="V16" s="573">
        <f t="shared" si="1"/>
        <v>11</v>
      </c>
    </row>
    <row r="17" spans="1:22">
      <c r="A17" s="532"/>
      <c r="B17" s="562">
        <f t="shared" si="2"/>
        <v>10</v>
      </c>
      <c r="C17" s="138"/>
      <c r="D17" s="591"/>
      <c r="E17" s="57" t="s">
        <v>1876</v>
      </c>
      <c r="F17" s="67"/>
      <c r="G17" s="55"/>
      <c r="H17" s="55"/>
      <c r="I17" s="55"/>
      <c r="J17" s="512"/>
      <c r="K17" s="574" t="str">
        <f t="shared" si="0"/>
        <v/>
      </c>
      <c r="L17" s="574" t="str">
        <f t="shared" si="0"/>
        <v/>
      </c>
      <c r="M17" s="574" t="str">
        <f t="shared" si="0"/>
        <v/>
      </c>
      <c r="N17" s="574" t="str">
        <f t="shared" si="0"/>
        <v/>
      </c>
      <c r="O17" s="574" t="str">
        <f t="shared" si="0"/>
        <v/>
      </c>
      <c r="P17" s="574" t="str">
        <f t="shared" si="0"/>
        <v/>
      </c>
      <c r="Q17" s="574" t="str">
        <f t="shared" si="0"/>
        <v/>
      </c>
      <c r="R17" s="574" t="str">
        <f t="shared" si="0"/>
        <v/>
      </c>
      <c r="S17" s="574" t="str">
        <f t="shared" si="0"/>
        <v/>
      </c>
      <c r="T17" s="574">
        <f t="shared" si="0"/>
        <v>0</v>
      </c>
      <c r="U17" s="574" t="str">
        <f t="shared" si="0"/>
        <v/>
      </c>
      <c r="V17" s="573">
        <f t="shared" si="1"/>
        <v>12</v>
      </c>
    </row>
    <row r="18" spans="1:22">
      <c r="A18" s="532"/>
      <c r="B18" s="562">
        <f t="shared" si="2"/>
        <v>11</v>
      </c>
      <c r="C18" s="138"/>
      <c r="D18" s="591"/>
      <c r="E18" s="57" t="s">
        <v>1877</v>
      </c>
      <c r="F18" s="67"/>
      <c r="G18" s="55"/>
      <c r="H18" s="55"/>
      <c r="I18" s="55"/>
      <c r="J18" s="512"/>
      <c r="K18" s="574" t="str">
        <f t="shared" ref="K18:U27" si="3">IF($E18=K$6,$F18,"")</f>
        <v/>
      </c>
      <c r="L18" s="574" t="str">
        <f t="shared" si="3"/>
        <v/>
      </c>
      <c r="M18" s="574" t="str">
        <f t="shared" si="0"/>
        <v/>
      </c>
      <c r="N18" s="574" t="str">
        <f t="shared" si="3"/>
        <v/>
      </c>
      <c r="O18" s="574" t="str">
        <f t="shared" si="3"/>
        <v/>
      </c>
      <c r="P18" s="574" t="str">
        <f t="shared" si="3"/>
        <v/>
      </c>
      <c r="Q18" s="574" t="str">
        <f t="shared" si="3"/>
        <v/>
      </c>
      <c r="R18" s="574" t="str">
        <f t="shared" si="3"/>
        <v/>
      </c>
      <c r="S18" s="574" t="str">
        <f t="shared" si="3"/>
        <v/>
      </c>
      <c r="T18" s="574" t="str">
        <f t="shared" si="3"/>
        <v/>
      </c>
      <c r="U18" s="574">
        <f t="shared" si="3"/>
        <v>0</v>
      </c>
      <c r="V18" s="573">
        <f t="shared" si="1"/>
        <v>13</v>
      </c>
    </row>
    <row r="19" spans="1:22">
      <c r="A19" s="532"/>
      <c r="B19" s="562">
        <f t="shared" si="2"/>
        <v>12</v>
      </c>
      <c r="C19" s="138"/>
      <c r="D19" s="591"/>
      <c r="E19" s="57" t="s">
        <v>1871</v>
      </c>
      <c r="F19" s="67"/>
      <c r="G19" s="55"/>
      <c r="H19" s="55"/>
      <c r="I19" s="55"/>
      <c r="J19" s="512"/>
      <c r="K19" s="574" t="str">
        <f t="shared" si="3"/>
        <v/>
      </c>
      <c r="L19" s="574" t="str">
        <f t="shared" si="3"/>
        <v/>
      </c>
      <c r="M19" s="574" t="str">
        <f t="shared" si="3"/>
        <v/>
      </c>
      <c r="N19" s="574" t="str">
        <f t="shared" si="3"/>
        <v/>
      </c>
      <c r="O19" s="574">
        <f t="shared" si="3"/>
        <v>0</v>
      </c>
      <c r="P19" s="574" t="str">
        <f t="shared" si="3"/>
        <v/>
      </c>
      <c r="Q19" s="574" t="str">
        <f t="shared" si="3"/>
        <v/>
      </c>
      <c r="R19" s="574" t="str">
        <f t="shared" si="3"/>
        <v/>
      </c>
      <c r="S19" s="574" t="str">
        <f t="shared" si="3"/>
        <v/>
      </c>
      <c r="T19" s="574" t="str">
        <f t="shared" si="3"/>
        <v/>
      </c>
      <c r="U19" s="574" t="str">
        <f t="shared" si="3"/>
        <v/>
      </c>
      <c r="V19" s="573">
        <f t="shared" si="1"/>
        <v>14</v>
      </c>
    </row>
    <row r="20" spans="1:22">
      <c r="A20" s="532"/>
      <c r="B20" s="562">
        <f t="shared" si="2"/>
        <v>13</v>
      </c>
      <c r="C20" s="138"/>
      <c r="D20" s="591"/>
      <c r="E20" s="57" t="s">
        <v>1871</v>
      </c>
      <c r="F20" s="67"/>
      <c r="G20" s="55"/>
      <c r="H20" s="55"/>
      <c r="I20" s="55"/>
      <c r="J20" s="512"/>
      <c r="K20" s="574" t="str">
        <f t="shared" si="3"/>
        <v/>
      </c>
      <c r="L20" s="574" t="str">
        <f t="shared" si="3"/>
        <v/>
      </c>
      <c r="M20" s="574" t="str">
        <f t="shared" si="3"/>
        <v/>
      </c>
      <c r="N20" s="574" t="str">
        <f t="shared" si="3"/>
        <v/>
      </c>
      <c r="O20" s="574">
        <f t="shared" si="3"/>
        <v>0</v>
      </c>
      <c r="P20" s="574" t="str">
        <f t="shared" si="3"/>
        <v/>
      </c>
      <c r="Q20" s="574" t="str">
        <f t="shared" si="3"/>
        <v/>
      </c>
      <c r="R20" s="574" t="str">
        <f t="shared" si="3"/>
        <v/>
      </c>
      <c r="S20" s="574" t="str">
        <f t="shared" si="3"/>
        <v/>
      </c>
      <c r="T20" s="574" t="str">
        <f t="shared" si="3"/>
        <v/>
      </c>
      <c r="U20" s="574" t="str">
        <f t="shared" si="3"/>
        <v/>
      </c>
      <c r="V20" s="573">
        <f t="shared" si="1"/>
        <v>15</v>
      </c>
    </row>
    <row r="21" spans="1:22">
      <c r="A21" s="532"/>
      <c r="B21" s="562">
        <f t="shared" si="2"/>
        <v>14</v>
      </c>
      <c r="C21" s="138"/>
      <c r="D21" s="591"/>
      <c r="E21" s="57" t="s">
        <v>1871</v>
      </c>
      <c r="F21" s="67"/>
      <c r="G21" s="55"/>
      <c r="H21" s="55"/>
      <c r="I21" s="55"/>
      <c r="J21" s="512"/>
      <c r="K21" s="574" t="str">
        <f t="shared" si="3"/>
        <v/>
      </c>
      <c r="L21" s="574" t="str">
        <f t="shared" si="3"/>
        <v/>
      </c>
      <c r="M21" s="574" t="str">
        <f t="shared" si="3"/>
        <v/>
      </c>
      <c r="N21" s="574" t="str">
        <f t="shared" si="3"/>
        <v/>
      </c>
      <c r="O21" s="574">
        <f t="shared" si="3"/>
        <v>0</v>
      </c>
      <c r="P21" s="574" t="str">
        <f t="shared" si="3"/>
        <v/>
      </c>
      <c r="Q21" s="574" t="str">
        <f t="shared" si="3"/>
        <v/>
      </c>
      <c r="R21" s="574" t="str">
        <f t="shared" si="3"/>
        <v/>
      </c>
      <c r="S21" s="574" t="str">
        <f t="shared" si="3"/>
        <v/>
      </c>
      <c r="T21" s="574" t="str">
        <f t="shared" si="3"/>
        <v/>
      </c>
      <c r="U21" s="574" t="str">
        <f t="shared" si="3"/>
        <v/>
      </c>
      <c r="V21" s="573">
        <f t="shared" si="1"/>
        <v>16</v>
      </c>
    </row>
    <row r="22" spans="1:22">
      <c r="A22" s="532"/>
      <c r="B22" s="562">
        <f t="shared" si="2"/>
        <v>15</v>
      </c>
      <c r="C22" s="138"/>
      <c r="D22" s="591"/>
      <c r="E22" s="57" t="s">
        <v>1871</v>
      </c>
      <c r="F22" s="67"/>
      <c r="G22" s="55"/>
      <c r="H22" s="55"/>
      <c r="I22" s="55"/>
      <c r="J22" s="512"/>
      <c r="K22" s="574" t="str">
        <f t="shared" si="3"/>
        <v/>
      </c>
      <c r="L22" s="574" t="str">
        <f t="shared" si="3"/>
        <v/>
      </c>
      <c r="M22" s="574" t="str">
        <f t="shared" si="3"/>
        <v/>
      </c>
      <c r="N22" s="574" t="str">
        <f t="shared" si="3"/>
        <v/>
      </c>
      <c r="O22" s="574">
        <f t="shared" si="3"/>
        <v>0</v>
      </c>
      <c r="P22" s="574" t="str">
        <f t="shared" si="3"/>
        <v/>
      </c>
      <c r="Q22" s="574" t="str">
        <f t="shared" si="3"/>
        <v/>
      </c>
      <c r="R22" s="574" t="str">
        <f t="shared" si="3"/>
        <v/>
      </c>
      <c r="S22" s="574" t="str">
        <f t="shared" si="3"/>
        <v/>
      </c>
      <c r="T22" s="574" t="str">
        <f t="shared" si="3"/>
        <v/>
      </c>
      <c r="U22" s="574" t="str">
        <f t="shared" si="3"/>
        <v/>
      </c>
      <c r="V22" s="573">
        <f t="shared" si="1"/>
        <v>17</v>
      </c>
    </row>
    <row r="23" spans="1:22">
      <c r="A23" s="532"/>
      <c r="B23" s="562">
        <f t="shared" si="2"/>
        <v>16</v>
      </c>
      <c r="C23" s="138"/>
      <c r="D23" s="591"/>
      <c r="E23" s="57" t="s">
        <v>1871</v>
      </c>
      <c r="F23" s="67"/>
      <c r="G23" s="55"/>
      <c r="H23" s="55"/>
      <c r="I23" s="55"/>
      <c r="J23" s="512"/>
      <c r="K23" s="574" t="str">
        <f t="shared" si="3"/>
        <v/>
      </c>
      <c r="L23" s="574" t="str">
        <f t="shared" si="3"/>
        <v/>
      </c>
      <c r="M23" s="574" t="str">
        <f t="shared" si="3"/>
        <v/>
      </c>
      <c r="N23" s="574" t="str">
        <f t="shared" si="3"/>
        <v/>
      </c>
      <c r="O23" s="574">
        <f t="shared" si="3"/>
        <v>0</v>
      </c>
      <c r="P23" s="574" t="str">
        <f t="shared" si="3"/>
        <v/>
      </c>
      <c r="Q23" s="574" t="str">
        <f t="shared" si="3"/>
        <v/>
      </c>
      <c r="R23" s="574" t="str">
        <f t="shared" si="3"/>
        <v/>
      </c>
      <c r="S23" s="574" t="str">
        <f t="shared" si="3"/>
        <v/>
      </c>
      <c r="T23" s="574" t="str">
        <f t="shared" si="3"/>
        <v/>
      </c>
      <c r="U23" s="574" t="str">
        <f t="shared" si="3"/>
        <v/>
      </c>
      <c r="V23" s="573">
        <f t="shared" si="1"/>
        <v>18</v>
      </c>
    </row>
    <row r="24" spans="1:22">
      <c r="A24" s="532"/>
      <c r="B24" s="562">
        <f t="shared" si="2"/>
        <v>17</v>
      </c>
      <c r="C24" s="138"/>
      <c r="D24" s="591"/>
      <c r="E24" s="57" t="s">
        <v>1871</v>
      </c>
      <c r="F24" s="67"/>
      <c r="G24" s="55"/>
      <c r="H24" s="55"/>
      <c r="I24" s="55"/>
      <c r="J24" s="512"/>
      <c r="K24" s="574" t="str">
        <f t="shared" si="3"/>
        <v/>
      </c>
      <c r="L24" s="574" t="str">
        <f t="shared" si="3"/>
        <v/>
      </c>
      <c r="M24" s="574" t="str">
        <f t="shared" si="3"/>
        <v/>
      </c>
      <c r="N24" s="574" t="str">
        <f t="shared" si="3"/>
        <v/>
      </c>
      <c r="O24" s="574">
        <f t="shared" si="3"/>
        <v>0</v>
      </c>
      <c r="P24" s="574" t="str">
        <f t="shared" si="3"/>
        <v/>
      </c>
      <c r="Q24" s="574" t="str">
        <f t="shared" si="3"/>
        <v/>
      </c>
      <c r="R24" s="574" t="str">
        <f t="shared" si="3"/>
        <v/>
      </c>
      <c r="S24" s="574" t="str">
        <f t="shared" si="3"/>
        <v/>
      </c>
      <c r="T24" s="574" t="str">
        <f t="shared" si="3"/>
        <v/>
      </c>
      <c r="U24" s="574" t="str">
        <f t="shared" si="3"/>
        <v/>
      </c>
      <c r="V24" s="573">
        <f t="shared" si="1"/>
        <v>19</v>
      </c>
    </row>
    <row r="25" spans="1:22">
      <c r="A25" s="532"/>
      <c r="B25" s="562">
        <f t="shared" si="2"/>
        <v>18</v>
      </c>
      <c r="C25" s="138"/>
      <c r="D25" s="591"/>
      <c r="E25" s="57" t="s">
        <v>1871</v>
      </c>
      <c r="F25" s="67"/>
      <c r="G25" s="55"/>
      <c r="H25" s="55"/>
      <c r="I25" s="55"/>
      <c r="J25" s="512"/>
      <c r="K25" s="574" t="str">
        <f t="shared" si="3"/>
        <v/>
      </c>
      <c r="L25" s="574" t="str">
        <f t="shared" si="3"/>
        <v/>
      </c>
      <c r="M25" s="574" t="str">
        <f t="shared" si="3"/>
        <v/>
      </c>
      <c r="N25" s="574" t="str">
        <f t="shared" si="3"/>
        <v/>
      </c>
      <c r="O25" s="574">
        <f t="shared" si="3"/>
        <v>0</v>
      </c>
      <c r="P25" s="574" t="str">
        <f t="shared" si="3"/>
        <v/>
      </c>
      <c r="Q25" s="574" t="str">
        <f t="shared" si="3"/>
        <v/>
      </c>
      <c r="R25" s="574" t="str">
        <f t="shared" si="3"/>
        <v/>
      </c>
      <c r="S25" s="574" t="str">
        <f t="shared" si="3"/>
        <v/>
      </c>
      <c r="T25" s="574" t="str">
        <f t="shared" si="3"/>
        <v/>
      </c>
      <c r="U25" s="574" t="str">
        <f t="shared" si="3"/>
        <v/>
      </c>
      <c r="V25" s="573">
        <f t="shared" si="1"/>
        <v>20</v>
      </c>
    </row>
    <row r="26" spans="1:22">
      <c r="A26" s="532"/>
      <c r="B26" s="562">
        <f t="shared" si="2"/>
        <v>19</v>
      </c>
      <c r="C26" s="138"/>
      <c r="D26" s="591"/>
      <c r="E26" s="57" t="s">
        <v>1871</v>
      </c>
      <c r="F26" s="67"/>
      <c r="G26" s="55"/>
      <c r="H26" s="55"/>
      <c r="I26" s="55"/>
      <c r="J26" s="512"/>
      <c r="K26" s="574" t="str">
        <f t="shared" si="3"/>
        <v/>
      </c>
      <c r="L26" s="574" t="str">
        <f t="shared" si="3"/>
        <v/>
      </c>
      <c r="M26" s="574" t="str">
        <f t="shared" si="3"/>
        <v/>
      </c>
      <c r="N26" s="574" t="str">
        <f t="shared" si="3"/>
        <v/>
      </c>
      <c r="O26" s="574">
        <f t="shared" si="3"/>
        <v>0</v>
      </c>
      <c r="P26" s="574" t="str">
        <f t="shared" si="3"/>
        <v/>
      </c>
      <c r="Q26" s="574" t="str">
        <f t="shared" si="3"/>
        <v/>
      </c>
      <c r="R26" s="574" t="str">
        <f t="shared" si="3"/>
        <v/>
      </c>
      <c r="S26" s="574" t="str">
        <f t="shared" si="3"/>
        <v/>
      </c>
      <c r="T26" s="574" t="str">
        <f t="shared" si="3"/>
        <v/>
      </c>
      <c r="U26" s="574" t="str">
        <f t="shared" si="3"/>
        <v/>
      </c>
      <c r="V26" s="573">
        <f t="shared" si="1"/>
        <v>21</v>
      </c>
    </row>
    <row r="27" spans="1:22">
      <c r="A27" s="532"/>
      <c r="B27" s="562">
        <f t="shared" si="2"/>
        <v>20</v>
      </c>
      <c r="C27" s="138"/>
      <c r="D27" s="591"/>
      <c r="E27" s="57" t="s">
        <v>1871</v>
      </c>
      <c r="F27" s="67"/>
      <c r="G27" s="55"/>
      <c r="H27" s="55"/>
      <c r="I27" s="55"/>
      <c r="J27" s="512"/>
      <c r="K27" s="574" t="str">
        <f t="shared" si="3"/>
        <v/>
      </c>
      <c r="L27" s="574" t="str">
        <f t="shared" si="3"/>
        <v/>
      </c>
      <c r="M27" s="574" t="str">
        <f t="shared" si="3"/>
        <v/>
      </c>
      <c r="N27" s="574" t="str">
        <f t="shared" si="3"/>
        <v/>
      </c>
      <c r="O27" s="574">
        <f t="shared" si="3"/>
        <v>0</v>
      </c>
      <c r="P27" s="574" t="str">
        <f t="shared" si="3"/>
        <v/>
      </c>
      <c r="Q27" s="574" t="str">
        <f t="shared" si="3"/>
        <v/>
      </c>
      <c r="R27" s="574" t="str">
        <f t="shared" si="3"/>
        <v/>
      </c>
      <c r="S27" s="574" t="str">
        <f t="shared" si="3"/>
        <v/>
      </c>
      <c r="T27" s="574" t="str">
        <f t="shared" si="3"/>
        <v/>
      </c>
      <c r="U27" s="574" t="str">
        <f t="shared" si="3"/>
        <v/>
      </c>
      <c r="V27" s="573">
        <f t="shared" si="1"/>
        <v>22</v>
      </c>
    </row>
    <row r="28" spans="1:22" ht="18" customHeight="1">
      <c r="A28" s="538"/>
      <c r="B28" s="539"/>
      <c r="C28" s="539"/>
      <c r="E28" s="539"/>
      <c r="F28" s="539"/>
      <c r="G28" s="546"/>
      <c r="H28" s="546"/>
      <c r="I28" s="512"/>
      <c r="J28" s="512"/>
      <c r="K28" s="512"/>
      <c r="L28" s="512"/>
      <c r="M28" s="512"/>
      <c r="N28" s="512"/>
      <c r="O28" s="512"/>
      <c r="P28" s="512"/>
      <c r="Q28" s="512"/>
      <c r="R28" s="512"/>
      <c r="S28" s="512"/>
      <c r="T28" s="512"/>
      <c r="U28" s="512"/>
      <c r="V28" s="573">
        <f t="shared" si="1"/>
        <v>23</v>
      </c>
    </row>
    <row r="29" spans="1:22" ht="16.350000000000001" customHeight="1">
      <c r="B29" s="496"/>
      <c r="C29" s="496"/>
      <c r="E29" s="526"/>
      <c r="F29" s="575">
        <f>SUM(F7:F28)</f>
        <v>0</v>
      </c>
      <c r="G29" s="569">
        <f>SUM(G8:G28)</f>
        <v>0</v>
      </c>
      <c r="H29" s="514">
        <f>SUM(H8:H28)</f>
        <v>0</v>
      </c>
      <c r="I29" s="514">
        <f>SUM(I8:I28)</f>
        <v>0</v>
      </c>
      <c r="J29" s="536" t="str">
        <f>IF(F29-SUM(K29:U29)=0,"ok","E")</f>
        <v>ok</v>
      </c>
      <c r="K29" s="576">
        <f t="shared" ref="K29:U29" si="4">SUM(K8:K28)</f>
        <v>0</v>
      </c>
      <c r="L29" s="576">
        <f t="shared" si="4"/>
        <v>0</v>
      </c>
      <c r="M29" s="576">
        <f t="shared" si="4"/>
        <v>0</v>
      </c>
      <c r="N29" s="576">
        <f t="shared" si="4"/>
        <v>0</v>
      </c>
      <c r="O29" s="576">
        <f t="shared" si="4"/>
        <v>0</v>
      </c>
      <c r="P29" s="576">
        <f t="shared" si="4"/>
        <v>0</v>
      </c>
      <c r="Q29" s="576">
        <f t="shared" si="4"/>
        <v>0</v>
      </c>
      <c r="R29" s="576">
        <f t="shared" si="4"/>
        <v>0</v>
      </c>
      <c r="S29" s="576">
        <f t="shared" si="4"/>
        <v>0</v>
      </c>
      <c r="T29" s="576">
        <f t="shared" si="4"/>
        <v>0</v>
      </c>
      <c r="U29" s="576">
        <f t="shared" si="4"/>
        <v>0</v>
      </c>
      <c r="V29" s="573">
        <f t="shared" si="1"/>
        <v>24</v>
      </c>
    </row>
    <row r="30" spans="1:22" ht="16.350000000000001" customHeight="1">
      <c r="B30" s="496"/>
      <c r="C30" s="496"/>
      <c r="E30" s="526"/>
      <c r="F30" s="505" t="s">
        <v>1711</v>
      </c>
      <c r="G30" s="135" t="s">
        <v>1845</v>
      </c>
      <c r="H30" s="135" t="s">
        <v>1845</v>
      </c>
      <c r="I30" s="135" t="s">
        <v>1845</v>
      </c>
      <c r="J30" s="536"/>
      <c r="K30" s="134" t="s">
        <v>1878</v>
      </c>
      <c r="L30" s="134" t="s">
        <v>1878</v>
      </c>
      <c r="M30" s="134" t="s">
        <v>1878</v>
      </c>
      <c r="N30" s="134" t="s">
        <v>1878</v>
      </c>
      <c r="O30" s="134" t="s">
        <v>1878</v>
      </c>
      <c r="P30" s="134" t="s">
        <v>1878</v>
      </c>
      <c r="Q30" s="134" t="s">
        <v>1878</v>
      </c>
      <c r="R30" s="134" t="s">
        <v>1878</v>
      </c>
      <c r="S30" s="134" t="s">
        <v>1878</v>
      </c>
      <c r="T30" s="134" t="s">
        <v>1878</v>
      </c>
      <c r="U30" s="134" t="s">
        <v>1878</v>
      </c>
      <c r="V30" s="577"/>
    </row>
    <row r="31" spans="1:22" ht="16.350000000000001" customHeight="1">
      <c r="B31" s="496"/>
      <c r="C31" s="496"/>
      <c r="E31" s="526"/>
      <c r="F31" s="505" t="s">
        <v>84</v>
      </c>
      <c r="G31" s="361">
        <f>pasture</f>
        <v>1655.5</v>
      </c>
      <c r="H31" s="361">
        <f>native</f>
        <v>4196.5</v>
      </c>
      <c r="I31" s="361">
        <f>arid</f>
        <v>0</v>
      </c>
      <c r="J31" s="526"/>
      <c r="K31" s="361">
        <f>VLOOKUP(K6,Process_facs_values_subs,Subrates!$D$1,FALSE)</f>
        <v>6127.769066710518</v>
      </c>
      <c r="L31" s="361">
        <f>VLOOKUP(L6,Process_facs_values_subs,Subrates!$D$1,FALSE)</f>
        <v>181979.9562253349</v>
      </c>
      <c r="M31" s="361">
        <f>VLOOKUP(M6,Process_facs_values_subs,Subrates!$D$1,FALSE)</f>
        <v>315376.37379183853</v>
      </c>
      <c r="N31" s="361">
        <f>VLOOKUP(N6,Process_facs_values_subs,Subrates!$D$1,FALSE)</f>
        <v>471046.16521508014</v>
      </c>
      <c r="O31" s="361">
        <f>VLOOKUP(O6,Process_facs_values_subs,Subrates!$D$1,FALSE)</f>
        <v>777745.06840814056</v>
      </c>
      <c r="P31" s="361">
        <f>VLOOKUP(P6,Process_facs_values_subs,Subrates!$D$1,FALSE)</f>
        <v>1214986.737636202</v>
      </c>
      <c r="Q31" s="361">
        <f>VLOOKUP(Q6,Process_facs_values_subs,Subrates!$D$1,FALSE)</f>
        <v>1586113.498318655</v>
      </c>
      <c r="R31" s="361">
        <f>VLOOKUP(R6,Process_facs_values_subs,Subrates!$D$1,FALSE)</f>
        <v>1866773.2172296762</v>
      </c>
      <c r="S31" s="361">
        <f>VLOOKUP(S6,Process_facs_values_subs,Subrates!$D$1,FALSE)</f>
        <v>2164445.1260374617</v>
      </c>
      <c r="T31" s="361">
        <f>VLOOKUP(T6,Process_facs_values_subs,Subrates!$D$1,FALSE)</f>
        <v>2472322.3474894669</v>
      </c>
      <c r="U31" s="361">
        <f>VLOOKUP(U6,Process_facs_values_subs,Subrates!$D$1,FALSE)</f>
        <v>2829383.2005316718</v>
      </c>
      <c r="V31" s="526"/>
    </row>
    <row r="32" spans="1:22" ht="16.350000000000001" customHeight="1">
      <c r="B32" s="496"/>
      <c r="C32" s="496"/>
      <c r="E32" s="526"/>
      <c r="F32" s="505" t="s">
        <v>142</v>
      </c>
      <c r="G32" s="578">
        <f>G31*G29</f>
        <v>0</v>
      </c>
      <c r="H32" s="578">
        <f t="shared" ref="H32:I32" si="5">H31*H29</f>
        <v>0</v>
      </c>
      <c r="I32" s="578">
        <f t="shared" si="5"/>
        <v>0</v>
      </c>
      <c r="J32" s="526"/>
      <c r="K32" s="578">
        <f>K31*K29</f>
        <v>0</v>
      </c>
      <c r="L32" s="578">
        <f t="shared" ref="L32:U32" si="6">L31*L29</f>
        <v>0</v>
      </c>
      <c r="M32" s="578">
        <f t="shared" si="6"/>
        <v>0</v>
      </c>
      <c r="N32" s="578">
        <f t="shared" si="6"/>
        <v>0</v>
      </c>
      <c r="O32" s="578">
        <f t="shared" si="6"/>
        <v>0</v>
      </c>
      <c r="P32" s="578">
        <f t="shared" si="6"/>
        <v>0</v>
      </c>
      <c r="Q32" s="578">
        <f t="shared" si="6"/>
        <v>0</v>
      </c>
      <c r="R32" s="578">
        <f t="shared" si="6"/>
        <v>0</v>
      </c>
      <c r="S32" s="578">
        <f t="shared" si="6"/>
        <v>0</v>
      </c>
      <c r="T32" s="578">
        <f t="shared" si="6"/>
        <v>0</v>
      </c>
      <c r="U32" s="578">
        <f t="shared" si="6"/>
        <v>0</v>
      </c>
      <c r="V32" s="526"/>
    </row>
    <row r="33" spans="1:22" ht="16.350000000000001" customHeight="1">
      <c r="E33" s="497"/>
      <c r="F33" s="494"/>
      <c r="H33" s="497"/>
      <c r="J33" s="526"/>
      <c r="L33" s="494"/>
    </row>
    <row r="34" spans="1:22" ht="16.350000000000001" customHeight="1">
      <c r="C34" s="571" t="s">
        <v>1879</v>
      </c>
      <c r="D34" s="498"/>
      <c r="G34" s="497"/>
      <c r="H34" s="497"/>
      <c r="I34" s="494"/>
      <c r="J34" s="494"/>
      <c r="K34" s="494"/>
      <c r="L34" s="494"/>
    </row>
    <row r="35" spans="1:22" ht="87" customHeight="1">
      <c r="A35" s="532"/>
      <c r="B35" s="509" t="s">
        <v>80</v>
      </c>
      <c r="C35" s="509" t="s">
        <v>439</v>
      </c>
      <c r="D35" s="509" t="s">
        <v>1774</v>
      </c>
      <c r="E35" s="509" t="s">
        <v>121</v>
      </c>
      <c r="F35" s="509" t="s">
        <v>149</v>
      </c>
      <c r="G35" s="509" t="s">
        <v>1880</v>
      </c>
      <c r="H35" s="509" t="s">
        <v>1881</v>
      </c>
      <c r="I35" s="509" t="s">
        <v>1882</v>
      </c>
      <c r="K35" s="579" t="str">
        <f>Lists!C354</f>
        <v>Stand-alone gas compressor</v>
      </c>
      <c r="L35" s="579" t="str">
        <f>Lists!E366</f>
        <v>Conventional Gas &gt; 0 and &lt;= 1 TJ/day</v>
      </c>
      <c r="M35" s="579" t="str">
        <f>Lists!F366</f>
        <v>Conventional Gas &gt; 1 and &lt;= 2 TJ/day</v>
      </c>
      <c r="N35" s="579" t="str">
        <f>Lists!G366</f>
        <v>Conventional Gas &gt; 2 and &lt;= 5 TJ/day</v>
      </c>
      <c r="O35" s="579" t="str">
        <f>Lists!H366</f>
        <v>Conventional Gas &gt; 5 and &lt;= 10 TJ/day</v>
      </c>
      <c r="P35" s="579" t="str">
        <f>Lists!I366</f>
        <v>Conventional Gas &gt; 10 and &lt;= 15 TJ/day</v>
      </c>
      <c r="Q35" s="579" t="str">
        <f>Lists!J366</f>
        <v>Conventional Gas &gt; 15 and &lt;= 25 TJ/day</v>
      </c>
      <c r="R35" s="579" t="str">
        <f>Lists!K366</f>
        <v>Conventional Gas &gt; 25 and &lt;= 50 TJ/day</v>
      </c>
      <c r="S35" s="579">
        <v>1</v>
      </c>
      <c r="V35" s="577"/>
    </row>
    <row r="36" spans="1:22" ht="18" customHeight="1">
      <c r="A36" s="532"/>
      <c r="B36" s="533"/>
      <c r="C36" s="533"/>
      <c r="E36" s="544" t="s">
        <v>1777</v>
      </c>
      <c r="F36" s="533" t="s">
        <v>1763</v>
      </c>
      <c r="G36" s="533" t="s">
        <v>119</v>
      </c>
      <c r="H36" s="533" t="s">
        <v>119</v>
      </c>
      <c r="I36" s="533" t="s">
        <v>119</v>
      </c>
      <c r="M36" s="497"/>
      <c r="N36" s="497"/>
      <c r="O36" s="497"/>
      <c r="P36" s="497"/>
      <c r="Q36" s="497"/>
      <c r="R36" s="497"/>
      <c r="S36" s="579">
        <f>S35+1</f>
        <v>2</v>
      </c>
      <c r="T36" s="497"/>
      <c r="V36" s="577"/>
    </row>
    <row r="37" spans="1:22" s="496" customFormat="1">
      <c r="A37" s="533"/>
      <c r="B37" s="562">
        <v>1</v>
      </c>
      <c r="C37" s="138"/>
      <c r="D37" s="139"/>
      <c r="E37" s="580" t="str">
        <f>Lists!C354</f>
        <v>Stand-alone gas compressor</v>
      </c>
      <c r="F37" s="89"/>
      <c r="G37" s="55"/>
      <c r="H37" s="55"/>
      <c r="I37" s="55"/>
      <c r="J37" s="517"/>
      <c r="K37" s="574">
        <f>IF($E37=K$35,$F37,"")</f>
        <v>0</v>
      </c>
      <c r="L37" s="574" t="str">
        <f t="shared" ref="L37:R52" si="7">IF($E37=L$35,$F37,"")</f>
        <v/>
      </c>
      <c r="M37" s="574" t="str">
        <f t="shared" si="7"/>
        <v/>
      </c>
      <c r="N37" s="574" t="str">
        <f t="shared" si="7"/>
        <v/>
      </c>
      <c r="O37" s="574" t="str">
        <f t="shared" si="7"/>
        <v/>
      </c>
      <c r="P37" s="574" t="str">
        <f t="shared" si="7"/>
        <v/>
      </c>
      <c r="Q37" s="574" t="str">
        <f t="shared" si="7"/>
        <v/>
      </c>
      <c r="R37" s="574" t="str">
        <f t="shared" si="7"/>
        <v/>
      </c>
      <c r="S37" s="581">
        <f t="shared" ref="S37:S58" si="8">S36+1</f>
        <v>3</v>
      </c>
      <c r="V37" s="582"/>
    </row>
    <row r="38" spans="1:22" s="496" customFormat="1">
      <c r="A38" s="533"/>
      <c r="B38" s="562">
        <f>B37+1</f>
        <v>2</v>
      </c>
      <c r="C38" s="138"/>
      <c r="D38" s="139"/>
      <c r="E38" s="57" t="s">
        <v>1883</v>
      </c>
      <c r="F38" s="67"/>
      <c r="G38" s="55"/>
      <c r="H38" s="55"/>
      <c r="I38" s="55"/>
      <c r="J38" s="517"/>
      <c r="K38" s="574" t="str">
        <f t="shared" ref="K38:R56" si="9">IF($E38=K$35,$F38,"")</f>
        <v/>
      </c>
      <c r="L38" s="574" t="str">
        <f t="shared" si="7"/>
        <v/>
      </c>
      <c r="M38" s="574" t="str">
        <f t="shared" si="7"/>
        <v/>
      </c>
      <c r="N38" s="574" t="str">
        <f t="shared" si="7"/>
        <v/>
      </c>
      <c r="O38" s="574">
        <f t="shared" si="7"/>
        <v>0</v>
      </c>
      <c r="P38" s="574" t="str">
        <f t="shared" si="7"/>
        <v/>
      </c>
      <c r="Q38" s="574" t="str">
        <f t="shared" si="7"/>
        <v/>
      </c>
      <c r="R38" s="574" t="str">
        <f t="shared" si="7"/>
        <v/>
      </c>
      <c r="S38" s="581">
        <f t="shared" si="8"/>
        <v>4</v>
      </c>
      <c r="V38" s="582"/>
    </row>
    <row r="39" spans="1:22" s="496" customFormat="1">
      <c r="A39" s="533"/>
      <c r="B39" s="562">
        <f t="shared" ref="B39:B56" si="10">B38+1</f>
        <v>3</v>
      </c>
      <c r="C39" s="138"/>
      <c r="D39" s="139"/>
      <c r="E39" s="57" t="s">
        <v>1884</v>
      </c>
      <c r="F39" s="67"/>
      <c r="G39" s="55"/>
      <c r="H39" s="55"/>
      <c r="I39" s="55"/>
      <c r="J39" s="517"/>
      <c r="K39" s="574" t="str">
        <f t="shared" si="9"/>
        <v/>
      </c>
      <c r="L39" s="574" t="str">
        <f t="shared" si="7"/>
        <v/>
      </c>
      <c r="M39" s="574">
        <f t="shared" si="7"/>
        <v>0</v>
      </c>
      <c r="N39" s="574" t="str">
        <f t="shared" si="7"/>
        <v/>
      </c>
      <c r="O39" s="574" t="str">
        <f t="shared" si="7"/>
        <v/>
      </c>
      <c r="P39" s="574" t="str">
        <f t="shared" si="7"/>
        <v/>
      </c>
      <c r="Q39" s="574" t="str">
        <f t="shared" si="7"/>
        <v/>
      </c>
      <c r="R39" s="574" t="str">
        <f t="shared" si="7"/>
        <v/>
      </c>
      <c r="S39" s="581">
        <f t="shared" si="8"/>
        <v>5</v>
      </c>
      <c r="V39" s="582"/>
    </row>
    <row r="40" spans="1:22" s="496" customFormat="1">
      <c r="A40" s="533"/>
      <c r="B40" s="562">
        <f t="shared" si="10"/>
        <v>4</v>
      </c>
      <c r="C40" s="138"/>
      <c r="D40" s="139"/>
      <c r="E40" s="57" t="s">
        <v>1885</v>
      </c>
      <c r="F40" s="67"/>
      <c r="G40" s="55"/>
      <c r="H40" s="55"/>
      <c r="I40" s="55"/>
      <c r="J40" s="517"/>
      <c r="K40" s="574" t="str">
        <f t="shared" si="9"/>
        <v/>
      </c>
      <c r="L40" s="574" t="str">
        <f t="shared" si="7"/>
        <v/>
      </c>
      <c r="M40" s="574" t="str">
        <f t="shared" si="7"/>
        <v/>
      </c>
      <c r="N40" s="574">
        <f t="shared" si="7"/>
        <v>0</v>
      </c>
      <c r="O40" s="574" t="str">
        <f t="shared" si="7"/>
        <v/>
      </c>
      <c r="P40" s="574" t="str">
        <f t="shared" si="7"/>
        <v/>
      </c>
      <c r="Q40" s="574" t="str">
        <f t="shared" si="7"/>
        <v/>
      </c>
      <c r="R40" s="574" t="str">
        <f t="shared" si="7"/>
        <v/>
      </c>
      <c r="S40" s="581">
        <f t="shared" si="8"/>
        <v>6</v>
      </c>
      <c r="V40" s="582"/>
    </row>
    <row r="41" spans="1:22" s="496" customFormat="1">
      <c r="A41" s="533"/>
      <c r="B41" s="562">
        <f t="shared" si="10"/>
        <v>5</v>
      </c>
      <c r="C41" s="138"/>
      <c r="D41" s="139"/>
      <c r="E41" s="57" t="s">
        <v>1883</v>
      </c>
      <c r="F41" s="67"/>
      <c r="G41" s="55"/>
      <c r="H41" s="55"/>
      <c r="I41" s="55"/>
      <c r="J41" s="517"/>
      <c r="K41" s="574" t="str">
        <f t="shared" si="9"/>
        <v/>
      </c>
      <c r="L41" s="574" t="str">
        <f t="shared" si="7"/>
        <v/>
      </c>
      <c r="M41" s="574" t="str">
        <f t="shared" si="7"/>
        <v/>
      </c>
      <c r="N41" s="574" t="str">
        <f t="shared" si="7"/>
        <v/>
      </c>
      <c r="O41" s="574">
        <f t="shared" si="7"/>
        <v>0</v>
      </c>
      <c r="P41" s="574" t="str">
        <f t="shared" si="7"/>
        <v/>
      </c>
      <c r="Q41" s="574" t="str">
        <f t="shared" si="7"/>
        <v/>
      </c>
      <c r="R41" s="574" t="str">
        <f t="shared" si="7"/>
        <v/>
      </c>
      <c r="S41" s="581">
        <f t="shared" si="8"/>
        <v>7</v>
      </c>
      <c r="V41" s="582"/>
    </row>
    <row r="42" spans="1:22" s="496" customFormat="1">
      <c r="A42" s="533"/>
      <c r="B42" s="562">
        <f t="shared" si="10"/>
        <v>6</v>
      </c>
      <c r="C42" s="138"/>
      <c r="D42" s="139"/>
      <c r="E42" s="57" t="s">
        <v>1886</v>
      </c>
      <c r="F42" s="67"/>
      <c r="G42" s="55"/>
      <c r="H42" s="55"/>
      <c r="I42" s="55"/>
      <c r="J42" s="517"/>
      <c r="K42" s="574" t="str">
        <f t="shared" si="9"/>
        <v/>
      </c>
      <c r="L42" s="574" t="str">
        <f t="shared" si="7"/>
        <v/>
      </c>
      <c r="M42" s="574" t="str">
        <f t="shared" si="7"/>
        <v/>
      </c>
      <c r="N42" s="574" t="str">
        <f t="shared" si="7"/>
        <v/>
      </c>
      <c r="O42" s="574" t="str">
        <f t="shared" si="7"/>
        <v/>
      </c>
      <c r="P42" s="574">
        <f t="shared" si="7"/>
        <v>0</v>
      </c>
      <c r="Q42" s="574" t="str">
        <f t="shared" si="7"/>
        <v/>
      </c>
      <c r="R42" s="574" t="str">
        <f t="shared" si="7"/>
        <v/>
      </c>
      <c r="S42" s="581">
        <f t="shared" si="8"/>
        <v>8</v>
      </c>
      <c r="V42" s="582"/>
    </row>
    <row r="43" spans="1:22" s="496" customFormat="1">
      <c r="A43" s="533"/>
      <c r="B43" s="562">
        <f t="shared" si="10"/>
        <v>7</v>
      </c>
      <c r="C43" s="138"/>
      <c r="D43" s="139"/>
      <c r="E43" s="57" t="s">
        <v>1887</v>
      </c>
      <c r="F43" s="67"/>
      <c r="G43" s="55"/>
      <c r="H43" s="55"/>
      <c r="I43" s="55"/>
      <c r="J43" s="517"/>
      <c r="K43" s="574" t="str">
        <f t="shared" si="9"/>
        <v/>
      </c>
      <c r="L43" s="574" t="str">
        <f t="shared" si="7"/>
        <v/>
      </c>
      <c r="M43" s="574" t="str">
        <f t="shared" si="7"/>
        <v/>
      </c>
      <c r="N43" s="574" t="str">
        <f t="shared" si="7"/>
        <v/>
      </c>
      <c r="O43" s="574" t="str">
        <f t="shared" si="7"/>
        <v/>
      </c>
      <c r="P43" s="574" t="str">
        <f t="shared" si="7"/>
        <v/>
      </c>
      <c r="Q43" s="574">
        <f t="shared" si="7"/>
        <v>0</v>
      </c>
      <c r="R43" s="574" t="str">
        <f t="shared" si="7"/>
        <v/>
      </c>
      <c r="S43" s="581">
        <f t="shared" si="8"/>
        <v>9</v>
      </c>
      <c r="V43" s="582"/>
    </row>
    <row r="44" spans="1:22" s="496" customFormat="1">
      <c r="A44" s="533"/>
      <c r="B44" s="562">
        <f t="shared" si="10"/>
        <v>8</v>
      </c>
      <c r="C44" s="138"/>
      <c r="D44" s="139"/>
      <c r="E44" s="57" t="s">
        <v>1888</v>
      </c>
      <c r="F44" s="67"/>
      <c r="G44" s="55"/>
      <c r="H44" s="55"/>
      <c r="I44" s="55"/>
      <c r="J44" s="517"/>
      <c r="K44" s="574" t="str">
        <f t="shared" si="9"/>
        <v/>
      </c>
      <c r="L44" s="574" t="str">
        <f t="shared" si="7"/>
        <v/>
      </c>
      <c r="M44" s="574" t="str">
        <f t="shared" si="7"/>
        <v/>
      </c>
      <c r="N44" s="574" t="str">
        <f t="shared" si="7"/>
        <v/>
      </c>
      <c r="O44" s="574" t="str">
        <f t="shared" si="7"/>
        <v/>
      </c>
      <c r="P44" s="574" t="str">
        <f t="shared" si="7"/>
        <v/>
      </c>
      <c r="Q44" s="574" t="str">
        <f t="shared" si="7"/>
        <v/>
      </c>
      <c r="R44" s="574">
        <f t="shared" si="7"/>
        <v>0</v>
      </c>
      <c r="S44" s="581">
        <f t="shared" si="8"/>
        <v>10</v>
      </c>
      <c r="V44" s="582"/>
    </row>
    <row r="45" spans="1:22" s="496" customFormat="1">
      <c r="A45" s="533"/>
      <c r="B45" s="562">
        <f t="shared" si="10"/>
        <v>9</v>
      </c>
      <c r="C45" s="138"/>
      <c r="D45" s="139"/>
      <c r="E45" s="57" t="s">
        <v>1889</v>
      </c>
      <c r="F45" s="67"/>
      <c r="G45" s="55"/>
      <c r="H45" s="55"/>
      <c r="I45" s="55"/>
      <c r="J45" s="517"/>
      <c r="K45" s="574" t="str">
        <f t="shared" si="9"/>
        <v/>
      </c>
      <c r="L45" s="574">
        <f t="shared" si="7"/>
        <v>0</v>
      </c>
      <c r="M45" s="574" t="str">
        <f t="shared" si="7"/>
        <v/>
      </c>
      <c r="N45" s="574" t="str">
        <f t="shared" si="7"/>
        <v/>
      </c>
      <c r="O45" s="574" t="str">
        <f t="shared" si="7"/>
        <v/>
      </c>
      <c r="P45" s="574" t="str">
        <f t="shared" si="7"/>
        <v/>
      </c>
      <c r="Q45" s="574" t="str">
        <f t="shared" si="7"/>
        <v/>
      </c>
      <c r="R45" s="574" t="str">
        <f t="shared" si="7"/>
        <v/>
      </c>
      <c r="S45" s="581">
        <f t="shared" si="8"/>
        <v>11</v>
      </c>
      <c r="V45" s="582"/>
    </row>
    <row r="46" spans="1:22" s="496" customFormat="1">
      <c r="A46" s="533"/>
      <c r="B46" s="562">
        <f t="shared" si="10"/>
        <v>10</v>
      </c>
      <c r="C46" s="138"/>
      <c r="D46" s="139"/>
      <c r="E46" s="57" t="s">
        <v>1889</v>
      </c>
      <c r="F46" s="67"/>
      <c r="G46" s="55"/>
      <c r="H46" s="55"/>
      <c r="I46" s="55"/>
      <c r="J46" s="517"/>
      <c r="K46" s="574" t="str">
        <f t="shared" si="9"/>
        <v/>
      </c>
      <c r="L46" s="574">
        <f t="shared" si="7"/>
        <v>0</v>
      </c>
      <c r="M46" s="574" t="str">
        <f t="shared" si="7"/>
        <v/>
      </c>
      <c r="N46" s="574" t="str">
        <f t="shared" si="7"/>
        <v/>
      </c>
      <c r="O46" s="574" t="str">
        <f t="shared" si="7"/>
        <v/>
      </c>
      <c r="P46" s="574" t="str">
        <f t="shared" si="7"/>
        <v/>
      </c>
      <c r="Q46" s="574" t="str">
        <f t="shared" si="7"/>
        <v/>
      </c>
      <c r="R46" s="574" t="str">
        <f t="shared" si="7"/>
        <v/>
      </c>
      <c r="S46" s="581">
        <f t="shared" si="8"/>
        <v>12</v>
      </c>
      <c r="V46" s="582"/>
    </row>
    <row r="47" spans="1:22" s="496" customFormat="1">
      <c r="A47" s="533"/>
      <c r="B47" s="562">
        <f t="shared" si="10"/>
        <v>11</v>
      </c>
      <c r="C47" s="138"/>
      <c r="D47" s="139"/>
      <c r="E47" s="57" t="s">
        <v>1889</v>
      </c>
      <c r="F47" s="67"/>
      <c r="G47" s="55"/>
      <c r="H47" s="55"/>
      <c r="I47" s="55"/>
      <c r="J47" s="517"/>
      <c r="K47" s="574" t="str">
        <f t="shared" si="9"/>
        <v/>
      </c>
      <c r="L47" s="574">
        <f t="shared" si="7"/>
        <v>0</v>
      </c>
      <c r="M47" s="574" t="str">
        <f t="shared" si="7"/>
        <v/>
      </c>
      <c r="N47" s="574" t="str">
        <f t="shared" si="7"/>
        <v/>
      </c>
      <c r="O47" s="574" t="str">
        <f t="shared" si="7"/>
        <v/>
      </c>
      <c r="P47" s="574" t="str">
        <f t="shared" si="7"/>
        <v/>
      </c>
      <c r="Q47" s="574" t="str">
        <f t="shared" si="7"/>
        <v/>
      </c>
      <c r="R47" s="574" t="str">
        <f t="shared" si="7"/>
        <v/>
      </c>
      <c r="S47" s="581">
        <f t="shared" si="8"/>
        <v>13</v>
      </c>
      <c r="V47" s="582"/>
    </row>
    <row r="48" spans="1:22" s="496" customFormat="1">
      <c r="A48" s="533"/>
      <c r="B48" s="562">
        <f t="shared" si="10"/>
        <v>12</v>
      </c>
      <c r="C48" s="138"/>
      <c r="D48" s="139"/>
      <c r="E48" s="57" t="s">
        <v>1889</v>
      </c>
      <c r="F48" s="67"/>
      <c r="G48" s="55"/>
      <c r="H48" s="55"/>
      <c r="I48" s="55"/>
      <c r="J48" s="517"/>
      <c r="K48" s="574" t="str">
        <f t="shared" si="9"/>
        <v/>
      </c>
      <c r="L48" s="574">
        <f t="shared" si="7"/>
        <v>0</v>
      </c>
      <c r="M48" s="574" t="str">
        <f t="shared" si="7"/>
        <v/>
      </c>
      <c r="N48" s="574" t="str">
        <f t="shared" si="7"/>
        <v/>
      </c>
      <c r="O48" s="574" t="str">
        <f t="shared" si="7"/>
        <v/>
      </c>
      <c r="P48" s="574" t="str">
        <f t="shared" si="7"/>
        <v/>
      </c>
      <c r="Q48" s="574" t="str">
        <f t="shared" si="7"/>
        <v/>
      </c>
      <c r="R48" s="574" t="str">
        <f t="shared" si="7"/>
        <v/>
      </c>
      <c r="S48" s="581">
        <f t="shared" si="8"/>
        <v>14</v>
      </c>
      <c r="V48" s="582"/>
    </row>
    <row r="49" spans="1:22" s="496" customFormat="1">
      <c r="A49" s="533"/>
      <c r="B49" s="562">
        <f t="shared" si="10"/>
        <v>13</v>
      </c>
      <c r="C49" s="138"/>
      <c r="D49" s="139"/>
      <c r="E49" s="57" t="s">
        <v>1889</v>
      </c>
      <c r="F49" s="67"/>
      <c r="G49" s="55"/>
      <c r="H49" s="55"/>
      <c r="I49" s="55"/>
      <c r="J49" s="517"/>
      <c r="K49" s="574" t="str">
        <f t="shared" si="9"/>
        <v/>
      </c>
      <c r="L49" s="574">
        <f t="shared" si="7"/>
        <v>0</v>
      </c>
      <c r="M49" s="574" t="str">
        <f t="shared" si="7"/>
        <v/>
      </c>
      <c r="N49" s="574" t="str">
        <f t="shared" si="7"/>
        <v/>
      </c>
      <c r="O49" s="574" t="str">
        <f t="shared" si="7"/>
        <v/>
      </c>
      <c r="P49" s="574" t="str">
        <f t="shared" si="7"/>
        <v/>
      </c>
      <c r="Q49" s="574" t="str">
        <f t="shared" si="7"/>
        <v/>
      </c>
      <c r="R49" s="574" t="str">
        <f t="shared" si="7"/>
        <v/>
      </c>
      <c r="S49" s="581">
        <f t="shared" si="8"/>
        <v>15</v>
      </c>
      <c r="V49" s="582"/>
    </row>
    <row r="50" spans="1:22" s="496" customFormat="1">
      <c r="A50" s="533"/>
      <c r="B50" s="562">
        <f t="shared" si="10"/>
        <v>14</v>
      </c>
      <c r="C50" s="138"/>
      <c r="D50" s="139"/>
      <c r="E50" s="57" t="s">
        <v>1889</v>
      </c>
      <c r="F50" s="67"/>
      <c r="G50" s="55"/>
      <c r="H50" s="55"/>
      <c r="I50" s="55"/>
      <c r="J50" s="517"/>
      <c r="K50" s="574" t="str">
        <f t="shared" si="9"/>
        <v/>
      </c>
      <c r="L50" s="574">
        <f t="shared" si="7"/>
        <v>0</v>
      </c>
      <c r="M50" s="574" t="str">
        <f t="shared" si="7"/>
        <v/>
      </c>
      <c r="N50" s="574" t="str">
        <f t="shared" si="7"/>
        <v/>
      </c>
      <c r="O50" s="574" t="str">
        <f t="shared" si="7"/>
        <v/>
      </c>
      <c r="P50" s="574" t="str">
        <f t="shared" si="7"/>
        <v/>
      </c>
      <c r="Q50" s="574" t="str">
        <f t="shared" si="7"/>
        <v/>
      </c>
      <c r="R50" s="574" t="str">
        <f t="shared" si="7"/>
        <v/>
      </c>
      <c r="S50" s="581">
        <f t="shared" si="8"/>
        <v>16</v>
      </c>
      <c r="V50" s="582"/>
    </row>
    <row r="51" spans="1:22" s="496" customFormat="1">
      <c r="A51" s="533"/>
      <c r="B51" s="562">
        <f t="shared" si="10"/>
        <v>15</v>
      </c>
      <c r="C51" s="138"/>
      <c r="D51" s="139"/>
      <c r="E51" s="57" t="s">
        <v>1889</v>
      </c>
      <c r="F51" s="67"/>
      <c r="G51" s="55"/>
      <c r="H51" s="55"/>
      <c r="I51" s="55"/>
      <c r="J51" s="517"/>
      <c r="K51" s="574" t="str">
        <f t="shared" si="9"/>
        <v/>
      </c>
      <c r="L51" s="574">
        <f t="shared" si="7"/>
        <v>0</v>
      </c>
      <c r="M51" s="574" t="str">
        <f t="shared" si="7"/>
        <v/>
      </c>
      <c r="N51" s="574" t="str">
        <f t="shared" si="7"/>
        <v/>
      </c>
      <c r="O51" s="574" t="str">
        <f t="shared" si="7"/>
        <v/>
      </c>
      <c r="P51" s="574" t="str">
        <f t="shared" si="7"/>
        <v/>
      </c>
      <c r="Q51" s="574" t="str">
        <f t="shared" si="7"/>
        <v/>
      </c>
      <c r="R51" s="574" t="str">
        <f t="shared" si="7"/>
        <v/>
      </c>
      <c r="S51" s="581">
        <f t="shared" si="8"/>
        <v>17</v>
      </c>
      <c r="V51" s="582"/>
    </row>
    <row r="52" spans="1:22" s="496" customFormat="1">
      <c r="A52" s="533"/>
      <c r="B52" s="562">
        <f t="shared" si="10"/>
        <v>16</v>
      </c>
      <c r="C52" s="138"/>
      <c r="D52" s="139"/>
      <c r="E52" s="57" t="s">
        <v>1889</v>
      </c>
      <c r="F52" s="67"/>
      <c r="G52" s="55"/>
      <c r="H52" s="55"/>
      <c r="I52" s="55"/>
      <c r="J52" s="517"/>
      <c r="K52" s="574" t="str">
        <f t="shared" si="9"/>
        <v/>
      </c>
      <c r="L52" s="574">
        <f t="shared" si="7"/>
        <v>0</v>
      </c>
      <c r="M52" s="574" t="str">
        <f t="shared" si="7"/>
        <v/>
      </c>
      <c r="N52" s="574" t="str">
        <f t="shared" si="7"/>
        <v/>
      </c>
      <c r="O52" s="574" t="str">
        <f t="shared" si="7"/>
        <v/>
      </c>
      <c r="P52" s="574" t="str">
        <f t="shared" si="7"/>
        <v/>
      </c>
      <c r="Q52" s="574" t="str">
        <f t="shared" si="7"/>
        <v/>
      </c>
      <c r="R52" s="574" t="str">
        <f t="shared" si="7"/>
        <v/>
      </c>
      <c r="S52" s="581">
        <f t="shared" si="8"/>
        <v>18</v>
      </c>
      <c r="V52" s="582"/>
    </row>
    <row r="53" spans="1:22" s="496" customFormat="1">
      <c r="A53" s="533"/>
      <c r="B53" s="562">
        <f t="shared" si="10"/>
        <v>17</v>
      </c>
      <c r="C53" s="138"/>
      <c r="D53" s="139"/>
      <c r="E53" s="57" t="s">
        <v>1889</v>
      </c>
      <c r="F53" s="67"/>
      <c r="G53" s="55"/>
      <c r="H53" s="55"/>
      <c r="I53" s="55"/>
      <c r="J53" s="517"/>
      <c r="K53" s="574" t="str">
        <f t="shared" si="9"/>
        <v/>
      </c>
      <c r="L53" s="574">
        <f t="shared" si="9"/>
        <v>0</v>
      </c>
      <c r="M53" s="574" t="str">
        <f t="shared" si="9"/>
        <v/>
      </c>
      <c r="N53" s="574" t="str">
        <f t="shared" si="9"/>
        <v/>
      </c>
      <c r="O53" s="574" t="str">
        <f t="shared" si="9"/>
        <v/>
      </c>
      <c r="P53" s="574" t="str">
        <f t="shared" si="9"/>
        <v/>
      </c>
      <c r="Q53" s="574" t="str">
        <f t="shared" si="9"/>
        <v/>
      </c>
      <c r="R53" s="574" t="str">
        <f t="shared" si="9"/>
        <v/>
      </c>
      <c r="S53" s="581">
        <f t="shared" si="8"/>
        <v>19</v>
      </c>
      <c r="V53" s="582"/>
    </row>
    <row r="54" spans="1:22" s="496" customFormat="1">
      <c r="A54" s="533"/>
      <c r="B54" s="562">
        <f t="shared" si="10"/>
        <v>18</v>
      </c>
      <c r="C54" s="138"/>
      <c r="D54" s="139"/>
      <c r="E54" s="57" t="s">
        <v>1889</v>
      </c>
      <c r="F54" s="67"/>
      <c r="G54" s="55"/>
      <c r="H54" s="55"/>
      <c r="I54" s="55"/>
      <c r="J54" s="517"/>
      <c r="K54" s="574" t="str">
        <f t="shared" si="9"/>
        <v/>
      </c>
      <c r="L54" s="574">
        <f t="shared" si="9"/>
        <v>0</v>
      </c>
      <c r="M54" s="574" t="str">
        <f t="shared" si="9"/>
        <v/>
      </c>
      <c r="N54" s="574" t="str">
        <f t="shared" si="9"/>
        <v/>
      </c>
      <c r="O54" s="574" t="str">
        <f t="shared" si="9"/>
        <v/>
      </c>
      <c r="P54" s="574" t="str">
        <f t="shared" si="9"/>
        <v/>
      </c>
      <c r="Q54" s="574" t="str">
        <f t="shared" si="9"/>
        <v/>
      </c>
      <c r="R54" s="574" t="str">
        <f t="shared" si="9"/>
        <v/>
      </c>
      <c r="S54" s="581">
        <f t="shared" si="8"/>
        <v>20</v>
      </c>
      <c r="V54" s="582"/>
    </row>
    <row r="55" spans="1:22" s="496" customFormat="1">
      <c r="A55" s="533"/>
      <c r="B55" s="562">
        <f t="shared" si="10"/>
        <v>19</v>
      </c>
      <c r="C55" s="138"/>
      <c r="D55" s="139"/>
      <c r="E55" s="57" t="s">
        <v>1889</v>
      </c>
      <c r="F55" s="67"/>
      <c r="G55" s="55"/>
      <c r="H55" s="55"/>
      <c r="I55" s="55"/>
      <c r="J55" s="517"/>
      <c r="K55" s="574" t="str">
        <f t="shared" si="9"/>
        <v/>
      </c>
      <c r="L55" s="574">
        <f t="shared" si="9"/>
        <v>0</v>
      </c>
      <c r="M55" s="574" t="str">
        <f t="shared" si="9"/>
        <v/>
      </c>
      <c r="N55" s="574" t="str">
        <f t="shared" si="9"/>
        <v/>
      </c>
      <c r="O55" s="574" t="str">
        <f t="shared" si="9"/>
        <v/>
      </c>
      <c r="P55" s="574" t="str">
        <f t="shared" si="9"/>
        <v/>
      </c>
      <c r="Q55" s="574" t="str">
        <f t="shared" si="9"/>
        <v/>
      </c>
      <c r="R55" s="574" t="str">
        <f t="shared" si="9"/>
        <v/>
      </c>
      <c r="S55" s="581">
        <f t="shared" si="8"/>
        <v>21</v>
      </c>
      <c r="V55" s="582"/>
    </row>
    <row r="56" spans="1:22" s="496" customFormat="1">
      <c r="A56" s="533"/>
      <c r="B56" s="562">
        <f t="shared" si="10"/>
        <v>20</v>
      </c>
      <c r="C56" s="138"/>
      <c r="D56" s="139"/>
      <c r="E56" s="57" t="s">
        <v>1889</v>
      </c>
      <c r="F56" s="67"/>
      <c r="G56" s="55"/>
      <c r="H56" s="55"/>
      <c r="I56" s="55"/>
      <c r="J56" s="517"/>
      <c r="K56" s="574" t="str">
        <f t="shared" si="9"/>
        <v/>
      </c>
      <c r="L56" s="574">
        <f t="shared" si="9"/>
        <v>0</v>
      </c>
      <c r="M56" s="574" t="str">
        <f t="shared" si="9"/>
        <v/>
      </c>
      <c r="N56" s="574" t="str">
        <f t="shared" si="9"/>
        <v/>
      </c>
      <c r="O56" s="574" t="str">
        <f t="shared" si="9"/>
        <v/>
      </c>
      <c r="P56" s="574" t="str">
        <f t="shared" si="9"/>
        <v/>
      </c>
      <c r="Q56" s="574" t="str">
        <f t="shared" si="9"/>
        <v/>
      </c>
      <c r="R56" s="574" t="str">
        <f t="shared" si="9"/>
        <v/>
      </c>
      <c r="S56" s="581">
        <f t="shared" si="8"/>
        <v>22</v>
      </c>
      <c r="V56" s="582"/>
    </row>
    <row r="57" spans="1:22" ht="18" customHeight="1">
      <c r="A57" s="538"/>
      <c r="B57" s="539"/>
      <c r="C57" s="539"/>
      <c r="E57" s="539"/>
      <c r="F57" s="539"/>
      <c r="G57" s="546"/>
      <c r="H57" s="546"/>
      <c r="I57" s="512"/>
      <c r="J57" s="512"/>
      <c r="K57" s="512"/>
      <c r="L57" s="512"/>
      <c r="M57" s="512"/>
      <c r="N57" s="512"/>
      <c r="O57" s="512"/>
      <c r="P57" s="512"/>
      <c r="Q57" s="512"/>
      <c r="R57" s="512"/>
      <c r="S57" s="579">
        <f t="shared" si="8"/>
        <v>23</v>
      </c>
      <c r="V57" s="577"/>
    </row>
    <row r="58" spans="1:22" ht="16.350000000000001" customHeight="1">
      <c r="B58" s="496"/>
      <c r="C58" s="496"/>
      <c r="E58" s="526"/>
      <c r="F58" s="575">
        <f>SUM(F36:F57)</f>
        <v>0</v>
      </c>
      <c r="G58" s="569">
        <f>SUM(G37:G57)</f>
        <v>0</v>
      </c>
      <c r="H58" s="514">
        <f>SUM(H37:H57)</f>
        <v>0</v>
      </c>
      <c r="I58" s="514">
        <f>SUM(I37:I57)</f>
        <v>0</v>
      </c>
      <c r="J58" s="536" t="str">
        <f>IF(F58-SUM(K58:R58)=0,"ok","E")</f>
        <v>ok</v>
      </c>
      <c r="K58" s="514">
        <f t="shared" ref="K58" si="11">SUM(K37:K57)</f>
        <v>0</v>
      </c>
      <c r="L58" s="514">
        <f t="shared" ref="L58:R58" si="12">SUM(L37:L57)</f>
        <v>0</v>
      </c>
      <c r="M58" s="514">
        <f t="shared" si="12"/>
        <v>0</v>
      </c>
      <c r="N58" s="514">
        <f t="shared" si="12"/>
        <v>0</v>
      </c>
      <c r="O58" s="514">
        <f t="shared" si="12"/>
        <v>0</v>
      </c>
      <c r="P58" s="514">
        <f t="shared" si="12"/>
        <v>0</v>
      </c>
      <c r="Q58" s="514">
        <f t="shared" si="12"/>
        <v>0</v>
      </c>
      <c r="R58" s="514">
        <f t="shared" si="12"/>
        <v>0</v>
      </c>
      <c r="S58" s="579">
        <f t="shared" si="8"/>
        <v>24</v>
      </c>
      <c r="V58" s="577"/>
    </row>
    <row r="59" spans="1:22" ht="16.350000000000001" customHeight="1">
      <c r="B59" s="496"/>
      <c r="C59" s="496"/>
      <c r="E59" s="526"/>
      <c r="F59" s="505" t="s">
        <v>1711</v>
      </c>
      <c r="G59" s="135" t="s">
        <v>1845</v>
      </c>
      <c r="H59" s="135" t="s">
        <v>1845</v>
      </c>
      <c r="I59" s="135" t="s">
        <v>1845</v>
      </c>
      <c r="J59" s="536"/>
      <c r="K59" s="134" t="s">
        <v>1878</v>
      </c>
      <c r="L59" s="134" t="s">
        <v>1878</v>
      </c>
      <c r="M59" s="134" t="s">
        <v>1878</v>
      </c>
      <c r="N59" s="134" t="s">
        <v>1878</v>
      </c>
      <c r="O59" s="134" t="s">
        <v>1878</v>
      </c>
      <c r="P59" s="134" t="s">
        <v>1878</v>
      </c>
      <c r="Q59" s="134" t="s">
        <v>1878</v>
      </c>
      <c r="R59" s="134" t="s">
        <v>1878</v>
      </c>
      <c r="S59" s="577"/>
      <c r="T59" s="577"/>
      <c r="U59" s="577"/>
      <c r="V59" s="577"/>
    </row>
    <row r="60" spans="1:22" ht="16.350000000000001" customHeight="1">
      <c r="B60" s="496"/>
      <c r="C60" s="496"/>
      <c r="E60" s="526"/>
      <c r="F60" s="526"/>
      <c r="G60" s="361">
        <f>pasture</f>
        <v>1655.5</v>
      </c>
      <c r="H60" s="361">
        <f>native</f>
        <v>4196.5</v>
      </c>
      <c r="I60" s="361">
        <f>arid</f>
        <v>0</v>
      </c>
      <c r="J60" s="526"/>
      <c r="K60" s="361">
        <f>VLOOKUP(K35,Process_facs_values_subs,Subrates!$D$1,FALSE)</f>
        <v>6127.769066710518</v>
      </c>
      <c r="L60" s="361">
        <f>VLOOKUP(L35,Process_facs_values_subs,Subrates!$D$1,FALSE)</f>
        <v>39812.991893113358</v>
      </c>
      <c r="M60" s="361">
        <f>VLOOKUP(M35,Process_facs_values_subs,Subrates!$D$1,FALSE)</f>
        <v>78848.860905217749</v>
      </c>
      <c r="N60" s="361">
        <f>VLOOKUP(N35,Process_facs_values_subs,Subrates!$D$1,FALSE)</f>
        <v>109924.18109708441</v>
      </c>
      <c r="O60" s="361">
        <f>VLOOKUP(O35,Process_facs_values_subs,Subrates!$D$1,FALSE)</f>
        <v>131255.76433372754</v>
      </c>
      <c r="P60" s="361">
        <f>VLOOKUP(P35,Process_facs_values_subs,Subrates!$D$1,FALSE)</f>
        <v>218832.74843790042</v>
      </c>
      <c r="Q60" s="361">
        <f>VLOOKUP(Q35,Process_facs_values_subs,Subrates!$D$1,FALSE)</f>
        <v>262302.54511837405</v>
      </c>
      <c r="R60" s="361">
        <f>VLOOKUP(R35,Process_facs_values_subs,Subrates!$D$1,FALSE)</f>
        <v>421178.49591168156</v>
      </c>
      <c r="V60" s="577"/>
    </row>
    <row r="61" spans="1:22" ht="16.350000000000001" customHeight="1">
      <c r="B61" s="496"/>
      <c r="C61" s="496"/>
      <c r="E61" s="526"/>
      <c r="F61" s="526"/>
      <c r="G61" s="554">
        <f t="shared" ref="G61:I61" si="13">G60*G58</f>
        <v>0</v>
      </c>
      <c r="H61" s="554">
        <f t="shared" si="13"/>
        <v>0</v>
      </c>
      <c r="I61" s="554">
        <f t="shared" si="13"/>
        <v>0</v>
      </c>
      <c r="J61" s="526"/>
      <c r="K61" s="554">
        <f>K60*K58</f>
        <v>0</v>
      </c>
      <c r="L61" s="554">
        <f t="shared" ref="L61:R61" si="14">L60*L58</f>
        <v>0</v>
      </c>
      <c r="M61" s="554">
        <f t="shared" si="14"/>
        <v>0</v>
      </c>
      <c r="N61" s="554">
        <f t="shared" si="14"/>
        <v>0</v>
      </c>
      <c r="O61" s="554">
        <f t="shared" si="14"/>
        <v>0</v>
      </c>
      <c r="P61" s="554">
        <f t="shared" si="14"/>
        <v>0</v>
      </c>
      <c r="Q61" s="554">
        <f t="shared" si="14"/>
        <v>0</v>
      </c>
      <c r="R61" s="554">
        <f t="shared" si="14"/>
        <v>0</v>
      </c>
      <c r="V61" s="577"/>
    </row>
    <row r="62" spans="1:22" ht="16.350000000000001" customHeight="1">
      <c r="B62" s="496"/>
      <c r="C62" s="496"/>
      <c r="E62" s="526"/>
      <c r="F62" s="526"/>
      <c r="G62" s="526"/>
      <c r="H62" s="526"/>
      <c r="I62" s="526"/>
      <c r="J62" s="526"/>
      <c r="K62" s="526"/>
      <c r="L62" s="526"/>
      <c r="M62" s="526"/>
      <c r="N62" s="526"/>
      <c r="O62" s="526"/>
      <c r="P62" s="526"/>
      <c r="Q62" s="526"/>
      <c r="R62" s="526"/>
      <c r="S62" s="526"/>
      <c r="T62" s="526"/>
      <c r="V62" s="577"/>
    </row>
    <row r="63" spans="1:22" ht="16.350000000000001" customHeight="1">
      <c r="C63" s="571" t="s">
        <v>1890</v>
      </c>
      <c r="D63" s="498"/>
      <c r="G63" s="497"/>
      <c r="H63" s="497"/>
      <c r="I63" s="494"/>
      <c r="J63" s="526"/>
      <c r="K63" s="494"/>
      <c r="L63" s="494"/>
    </row>
    <row r="64" spans="1:22" ht="56.1" customHeight="1">
      <c r="A64" s="532"/>
      <c r="B64" s="509" t="s">
        <v>80</v>
      </c>
      <c r="C64" s="509" t="s">
        <v>439</v>
      </c>
      <c r="D64" s="509" t="s">
        <v>1774</v>
      </c>
      <c r="E64" s="509" t="s">
        <v>121</v>
      </c>
      <c r="F64" s="509" t="s">
        <v>149</v>
      </c>
      <c r="G64" s="509" t="s">
        <v>1891</v>
      </c>
      <c r="H64" s="509" t="s">
        <v>1892</v>
      </c>
      <c r="I64" s="509" t="s">
        <v>1893</v>
      </c>
      <c r="K64" s="579" t="str">
        <f>Lists!E384</f>
        <v>Water Treatment Plant 1 ML/day</v>
      </c>
      <c r="L64" s="579" t="str">
        <f>Lists!F384</f>
        <v>Water Treatment Plant 2 ML/day</v>
      </c>
      <c r="M64" s="579" t="str">
        <f>Lists!G384</f>
        <v>Water Treatment Plant 6 ML/day</v>
      </c>
      <c r="N64" s="579" t="str">
        <f>Lists!H384</f>
        <v>Water Treatment Plant 12 ML/day</v>
      </c>
      <c r="O64" s="579" t="str">
        <f>Lists!I384</f>
        <v>Water Treatment Plant 20 ML/day</v>
      </c>
      <c r="P64" s="579" t="str">
        <f>Lists!J384</f>
        <v>Water Treatment Plant 40 ML/day</v>
      </c>
      <c r="Q64" s="579" t="str">
        <f>Lists!K384</f>
        <v>Water Treatment Plant 80 ML/day BC&amp;TC</v>
      </c>
      <c r="R64" s="579" t="str">
        <f>Lists!L384</f>
        <v>Water Treatment Plant 100 ML/day BC&amp;TC</v>
      </c>
      <c r="S64" s="579">
        <v>1</v>
      </c>
    </row>
    <row r="65" spans="1:20" ht="18" customHeight="1">
      <c r="A65" s="532"/>
      <c r="B65" s="533"/>
      <c r="C65" s="533"/>
      <c r="E65" s="544" t="s">
        <v>1777</v>
      </c>
      <c r="F65" s="533" t="s">
        <v>80</v>
      </c>
      <c r="G65" s="533" t="s">
        <v>119</v>
      </c>
      <c r="H65" s="533" t="s">
        <v>119</v>
      </c>
      <c r="I65" s="533" t="s">
        <v>119</v>
      </c>
      <c r="M65" s="497"/>
      <c r="N65" s="497"/>
      <c r="O65" s="497"/>
      <c r="P65" s="497"/>
      <c r="Q65" s="497"/>
      <c r="R65" s="497"/>
      <c r="S65" s="579">
        <f>S64+1</f>
        <v>2</v>
      </c>
      <c r="T65" s="497"/>
    </row>
    <row r="66" spans="1:20">
      <c r="A66" s="532"/>
      <c r="B66" s="562">
        <v>1</v>
      </c>
      <c r="C66" s="58"/>
      <c r="D66" s="592"/>
      <c r="E66" s="57" t="s">
        <v>1894</v>
      </c>
      <c r="F66" s="89"/>
      <c r="G66" s="55"/>
      <c r="H66" s="55"/>
      <c r="I66" s="55"/>
      <c r="J66" s="512"/>
      <c r="K66" s="583">
        <f>IF($E66=K$64,$F66,"")</f>
        <v>0</v>
      </c>
      <c r="L66" s="583" t="str">
        <f t="shared" ref="L66:R81" si="15">IF($E66=L$64,$F66,"")</f>
        <v/>
      </c>
      <c r="M66" s="583" t="str">
        <f t="shared" si="15"/>
        <v/>
      </c>
      <c r="N66" s="583" t="str">
        <f t="shared" si="15"/>
        <v/>
      </c>
      <c r="O66" s="583" t="str">
        <f t="shared" si="15"/>
        <v/>
      </c>
      <c r="P66" s="583" t="str">
        <f t="shared" si="15"/>
        <v/>
      </c>
      <c r="Q66" s="583" t="str">
        <f t="shared" si="15"/>
        <v/>
      </c>
      <c r="R66" s="583" t="str">
        <f t="shared" si="15"/>
        <v/>
      </c>
      <c r="S66" s="579">
        <f t="shared" ref="S66:S87" si="16">S65+1</f>
        <v>3</v>
      </c>
    </row>
    <row r="67" spans="1:20">
      <c r="A67" s="532"/>
      <c r="B67" s="562">
        <f>B66+1</f>
        <v>2</v>
      </c>
      <c r="C67" s="58"/>
      <c r="D67" s="592"/>
      <c r="E67" s="57" t="s">
        <v>1895</v>
      </c>
      <c r="F67" s="67"/>
      <c r="G67" s="55"/>
      <c r="H67" s="55"/>
      <c r="I67" s="55"/>
      <c r="J67" s="512"/>
      <c r="K67" s="583" t="str">
        <f t="shared" ref="K67:R85" si="17">IF($E67=K$64,$F67,"")</f>
        <v/>
      </c>
      <c r="L67" s="583">
        <f t="shared" si="15"/>
        <v>0</v>
      </c>
      <c r="M67" s="583" t="str">
        <f t="shared" si="15"/>
        <v/>
      </c>
      <c r="N67" s="583" t="str">
        <f t="shared" si="15"/>
        <v/>
      </c>
      <c r="O67" s="583" t="str">
        <f t="shared" si="15"/>
        <v/>
      </c>
      <c r="P67" s="583" t="str">
        <f t="shared" si="15"/>
        <v/>
      </c>
      <c r="Q67" s="583" t="str">
        <f t="shared" si="15"/>
        <v/>
      </c>
      <c r="R67" s="583" t="str">
        <f t="shared" si="15"/>
        <v/>
      </c>
      <c r="S67" s="579">
        <f t="shared" si="16"/>
        <v>4</v>
      </c>
    </row>
    <row r="68" spans="1:20">
      <c r="A68" s="532"/>
      <c r="B68" s="562">
        <f t="shared" ref="B68:B85" si="18">B67+1</f>
        <v>3</v>
      </c>
      <c r="C68" s="58"/>
      <c r="D68" s="592"/>
      <c r="E68" s="57" t="s">
        <v>1896</v>
      </c>
      <c r="F68" s="67"/>
      <c r="G68" s="55"/>
      <c r="H68" s="55"/>
      <c r="I68" s="55"/>
      <c r="J68" s="512"/>
      <c r="K68" s="583" t="str">
        <f t="shared" si="17"/>
        <v/>
      </c>
      <c r="L68" s="583" t="str">
        <f t="shared" si="15"/>
        <v/>
      </c>
      <c r="M68" s="583">
        <f t="shared" si="15"/>
        <v>0</v>
      </c>
      <c r="N68" s="583" t="str">
        <f t="shared" si="15"/>
        <v/>
      </c>
      <c r="O68" s="583" t="str">
        <f t="shared" si="15"/>
        <v/>
      </c>
      <c r="P68" s="583" t="str">
        <f t="shared" si="15"/>
        <v/>
      </c>
      <c r="Q68" s="583" t="str">
        <f t="shared" si="15"/>
        <v/>
      </c>
      <c r="R68" s="583" t="str">
        <f t="shared" si="15"/>
        <v/>
      </c>
      <c r="S68" s="579">
        <f t="shared" si="16"/>
        <v>5</v>
      </c>
    </row>
    <row r="69" spans="1:20">
      <c r="A69" s="532"/>
      <c r="B69" s="562">
        <f t="shared" si="18"/>
        <v>4</v>
      </c>
      <c r="C69" s="58"/>
      <c r="D69" s="592"/>
      <c r="E69" s="57" t="s">
        <v>1897</v>
      </c>
      <c r="F69" s="67"/>
      <c r="G69" s="55"/>
      <c r="H69" s="55"/>
      <c r="I69" s="55"/>
      <c r="J69" s="512"/>
      <c r="K69" s="583" t="str">
        <f t="shared" si="17"/>
        <v/>
      </c>
      <c r="L69" s="583" t="str">
        <f t="shared" si="15"/>
        <v/>
      </c>
      <c r="M69" s="583" t="str">
        <f t="shared" si="15"/>
        <v/>
      </c>
      <c r="N69" s="583">
        <f t="shared" si="15"/>
        <v>0</v>
      </c>
      <c r="O69" s="583" t="str">
        <f t="shared" si="15"/>
        <v/>
      </c>
      <c r="P69" s="583" t="str">
        <f t="shared" si="15"/>
        <v/>
      </c>
      <c r="Q69" s="583" t="str">
        <f t="shared" si="15"/>
        <v/>
      </c>
      <c r="R69" s="583" t="str">
        <f t="shared" si="15"/>
        <v/>
      </c>
      <c r="S69" s="579">
        <f t="shared" si="16"/>
        <v>6</v>
      </c>
    </row>
    <row r="70" spans="1:20">
      <c r="A70" s="532"/>
      <c r="B70" s="562">
        <f t="shared" si="18"/>
        <v>5</v>
      </c>
      <c r="C70" s="58"/>
      <c r="D70" s="592"/>
      <c r="E70" s="57" t="s">
        <v>1898</v>
      </c>
      <c r="F70" s="67"/>
      <c r="G70" s="55"/>
      <c r="H70" s="55"/>
      <c r="I70" s="55"/>
      <c r="J70" s="512"/>
      <c r="K70" s="583" t="str">
        <f t="shared" si="17"/>
        <v/>
      </c>
      <c r="L70" s="583" t="str">
        <f t="shared" si="15"/>
        <v/>
      </c>
      <c r="M70" s="583" t="str">
        <f t="shared" si="15"/>
        <v/>
      </c>
      <c r="N70" s="583" t="str">
        <f t="shared" si="15"/>
        <v/>
      </c>
      <c r="O70" s="583">
        <f t="shared" si="15"/>
        <v>0</v>
      </c>
      <c r="P70" s="583" t="str">
        <f t="shared" si="15"/>
        <v/>
      </c>
      <c r="Q70" s="583" t="str">
        <f t="shared" si="15"/>
        <v/>
      </c>
      <c r="R70" s="583" t="str">
        <f t="shared" si="15"/>
        <v/>
      </c>
      <c r="S70" s="579">
        <f t="shared" si="16"/>
        <v>7</v>
      </c>
    </row>
    <row r="71" spans="1:20">
      <c r="A71" s="532"/>
      <c r="B71" s="562">
        <f t="shared" si="18"/>
        <v>6</v>
      </c>
      <c r="C71" s="58"/>
      <c r="D71" s="592"/>
      <c r="E71" s="57" t="s">
        <v>1899</v>
      </c>
      <c r="F71" s="67"/>
      <c r="G71" s="55"/>
      <c r="H71" s="55"/>
      <c r="I71" s="55"/>
      <c r="J71" s="512"/>
      <c r="K71" s="583" t="str">
        <f t="shared" si="17"/>
        <v/>
      </c>
      <c r="L71" s="583" t="str">
        <f t="shared" si="15"/>
        <v/>
      </c>
      <c r="M71" s="583" t="str">
        <f t="shared" si="15"/>
        <v/>
      </c>
      <c r="N71" s="583" t="str">
        <f t="shared" si="15"/>
        <v/>
      </c>
      <c r="O71" s="583" t="str">
        <f t="shared" si="15"/>
        <v/>
      </c>
      <c r="P71" s="583">
        <f t="shared" si="15"/>
        <v>0</v>
      </c>
      <c r="Q71" s="583" t="str">
        <f t="shared" si="15"/>
        <v/>
      </c>
      <c r="R71" s="583" t="str">
        <f t="shared" si="15"/>
        <v/>
      </c>
      <c r="S71" s="579">
        <f t="shared" si="16"/>
        <v>8</v>
      </c>
    </row>
    <row r="72" spans="1:20">
      <c r="A72" s="532"/>
      <c r="B72" s="562">
        <f t="shared" si="18"/>
        <v>7</v>
      </c>
      <c r="C72" s="58"/>
      <c r="D72" s="592"/>
      <c r="E72" s="57" t="s">
        <v>1900</v>
      </c>
      <c r="F72" s="67"/>
      <c r="G72" s="55"/>
      <c r="H72" s="55"/>
      <c r="I72" s="55"/>
      <c r="J72" s="512"/>
      <c r="K72" s="583" t="str">
        <f t="shared" si="17"/>
        <v/>
      </c>
      <c r="L72" s="583" t="str">
        <f t="shared" si="15"/>
        <v/>
      </c>
      <c r="M72" s="583" t="str">
        <f t="shared" si="15"/>
        <v/>
      </c>
      <c r="N72" s="583" t="str">
        <f t="shared" si="15"/>
        <v/>
      </c>
      <c r="O72" s="583" t="str">
        <f t="shared" si="15"/>
        <v/>
      </c>
      <c r="P72" s="583" t="str">
        <f t="shared" si="15"/>
        <v/>
      </c>
      <c r="Q72" s="583">
        <f t="shared" si="15"/>
        <v>0</v>
      </c>
      <c r="R72" s="583" t="str">
        <f t="shared" si="15"/>
        <v/>
      </c>
      <c r="S72" s="579">
        <f t="shared" si="16"/>
        <v>9</v>
      </c>
    </row>
    <row r="73" spans="1:20">
      <c r="A73" s="532"/>
      <c r="B73" s="562">
        <f t="shared" si="18"/>
        <v>8</v>
      </c>
      <c r="C73" s="58"/>
      <c r="D73" s="592"/>
      <c r="E73" s="57" t="s">
        <v>1901</v>
      </c>
      <c r="F73" s="67"/>
      <c r="G73" s="55"/>
      <c r="H73" s="55"/>
      <c r="I73" s="55"/>
      <c r="J73" s="512"/>
      <c r="K73" s="583" t="str">
        <f t="shared" si="17"/>
        <v/>
      </c>
      <c r="L73" s="583" t="str">
        <f t="shared" si="15"/>
        <v/>
      </c>
      <c r="M73" s="583" t="str">
        <f t="shared" si="15"/>
        <v/>
      </c>
      <c r="N73" s="583" t="str">
        <f t="shared" si="15"/>
        <v/>
      </c>
      <c r="O73" s="583" t="str">
        <f t="shared" si="15"/>
        <v/>
      </c>
      <c r="P73" s="583" t="str">
        <f t="shared" si="15"/>
        <v/>
      </c>
      <c r="Q73" s="583" t="str">
        <f t="shared" si="15"/>
        <v/>
      </c>
      <c r="R73" s="583">
        <f t="shared" si="15"/>
        <v>0</v>
      </c>
      <c r="S73" s="579">
        <f t="shared" si="16"/>
        <v>10</v>
      </c>
    </row>
    <row r="74" spans="1:20">
      <c r="A74" s="532"/>
      <c r="B74" s="562">
        <f t="shared" si="18"/>
        <v>9</v>
      </c>
      <c r="C74" s="58"/>
      <c r="D74" s="592"/>
      <c r="E74" s="57" t="s">
        <v>1896</v>
      </c>
      <c r="F74" s="67"/>
      <c r="G74" s="55"/>
      <c r="H74" s="55"/>
      <c r="I74" s="55"/>
      <c r="J74" s="512"/>
      <c r="K74" s="583" t="str">
        <f t="shared" si="17"/>
        <v/>
      </c>
      <c r="L74" s="583" t="str">
        <f t="shared" si="15"/>
        <v/>
      </c>
      <c r="M74" s="583">
        <f t="shared" si="15"/>
        <v>0</v>
      </c>
      <c r="N74" s="583" t="str">
        <f t="shared" si="15"/>
        <v/>
      </c>
      <c r="O74" s="583" t="str">
        <f t="shared" si="15"/>
        <v/>
      </c>
      <c r="P74" s="583" t="str">
        <f t="shared" si="15"/>
        <v/>
      </c>
      <c r="Q74" s="583" t="str">
        <f t="shared" si="15"/>
        <v/>
      </c>
      <c r="R74" s="583" t="str">
        <f t="shared" si="15"/>
        <v/>
      </c>
      <c r="S74" s="579">
        <f t="shared" si="16"/>
        <v>11</v>
      </c>
    </row>
    <row r="75" spans="1:20">
      <c r="A75" s="532"/>
      <c r="B75" s="562">
        <f t="shared" si="18"/>
        <v>10</v>
      </c>
      <c r="C75" s="58"/>
      <c r="D75" s="592"/>
      <c r="E75" s="57" t="s">
        <v>1896</v>
      </c>
      <c r="F75" s="67"/>
      <c r="G75" s="55"/>
      <c r="H75" s="55"/>
      <c r="I75" s="55"/>
      <c r="J75" s="512"/>
      <c r="K75" s="583" t="str">
        <f t="shared" si="17"/>
        <v/>
      </c>
      <c r="L75" s="583" t="str">
        <f t="shared" si="15"/>
        <v/>
      </c>
      <c r="M75" s="583">
        <f t="shared" si="15"/>
        <v>0</v>
      </c>
      <c r="N75" s="583" t="str">
        <f t="shared" si="15"/>
        <v/>
      </c>
      <c r="O75" s="583" t="str">
        <f t="shared" si="15"/>
        <v/>
      </c>
      <c r="P75" s="583" t="str">
        <f t="shared" si="15"/>
        <v/>
      </c>
      <c r="Q75" s="583" t="str">
        <f t="shared" si="15"/>
        <v/>
      </c>
      <c r="R75" s="583" t="str">
        <f t="shared" si="15"/>
        <v/>
      </c>
      <c r="S75" s="579">
        <f t="shared" si="16"/>
        <v>12</v>
      </c>
    </row>
    <row r="76" spans="1:20">
      <c r="A76" s="532"/>
      <c r="B76" s="562">
        <f t="shared" si="18"/>
        <v>11</v>
      </c>
      <c r="C76" s="58"/>
      <c r="D76" s="592"/>
      <c r="E76" s="57" t="s">
        <v>1896</v>
      </c>
      <c r="F76" s="67"/>
      <c r="G76" s="55"/>
      <c r="H76" s="55"/>
      <c r="I76" s="55"/>
      <c r="J76" s="512"/>
      <c r="K76" s="583" t="str">
        <f t="shared" si="17"/>
        <v/>
      </c>
      <c r="L76" s="583" t="str">
        <f t="shared" si="15"/>
        <v/>
      </c>
      <c r="M76" s="583">
        <f t="shared" si="15"/>
        <v>0</v>
      </c>
      <c r="N76" s="583" t="str">
        <f t="shared" si="15"/>
        <v/>
      </c>
      <c r="O76" s="583" t="str">
        <f t="shared" si="15"/>
        <v/>
      </c>
      <c r="P76" s="583" t="str">
        <f t="shared" si="15"/>
        <v/>
      </c>
      <c r="Q76" s="583" t="str">
        <f t="shared" si="15"/>
        <v/>
      </c>
      <c r="R76" s="583" t="str">
        <f t="shared" si="15"/>
        <v/>
      </c>
      <c r="S76" s="579">
        <f t="shared" si="16"/>
        <v>13</v>
      </c>
    </row>
    <row r="77" spans="1:20">
      <c r="A77" s="532"/>
      <c r="B77" s="562">
        <f t="shared" si="18"/>
        <v>12</v>
      </c>
      <c r="C77" s="58"/>
      <c r="D77" s="592"/>
      <c r="E77" s="57" t="s">
        <v>1896</v>
      </c>
      <c r="F77" s="67"/>
      <c r="G77" s="55"/>
      <c r="H77" s="55"/>
      <c r="I77" s="55"/>
      <c r="J77" s="512"/>
      <c r="K77" s="583" t="str">
        <f t="shared" si="17"/>
        <v/>
      </c>
      <c r="L77" s="583" t="str">
        <f t="shared" si="15"/>
        <v/>
      </c>
      <c r="M77" s="583">
        <f t="shared" si="15"/>
        <v>0</v>
      </c>
      <c r="N77" s="583" t="str">
        <f t="shared" si="15"/>
        <v/>
      </c>
      <c r="O77" s="583" t="str">
        <f t="shared" si="15"/>
        <v/>
      </c>
      <c r="P77" s="583" t="str">
        <f t="shared" si="15"/>
        <v/>
      </c>
      <c r="Q77" s="583" t="str">
        <f t="shared" si="15"/>
        <v/>
      </c>
      <c r="R77" s="583" t="str">
        <f t="shared" si="15"/>
        <v/>
      </c>
      <c r="S77" s="579">
        <f t="shared" si="16"/>
        <v>14</v>
      </c>
    </row>
    <row r="78" spans="1:20">
      <c r="A78" s="532"/>
      <c r="B78" s="562">
        <f t="shared" si="18"/>
        <v>13</v>
      </c>
      <c r="C78" s="58"/>
      <c r="D78" s="592"/>
      <c r="E78" s="57" t="s">
        <v>1896</v>
      </c>
      <c r="F78" s="67"/>
      <c r="G78" s="55"/>
      <c r="H78" s="55"/>
      <c r="I78" s="55"/>
      <c r="J78" s="512"/>
      <c r="K78" s="583" t="str">
        <f t="shared" si="17"/>
        <v/>
      </c>
      <c r="L78" s="583" t="str">
        <f t="shared" si="15"/>
        <v/>
      </c>
      <c r="M78" s="583">
        <f t="shared" si="15"/>
        <v>0</v>
      </c>
      <c r="N78" s="583" t="str">
        <f t="shared" si="15"/>
        <v/>
      </c>
      <c r="O78" s="583" t="str">
        <f t="shared" si="15"/>
        <v/>
      </c>
      <c r="P78" s="583" t="str">
        <f t="shared" si="15"/>
        <v/>
      </c>
      <c r="Q78" s="583" t="str">
        <f t="shared" si="15"/>
        <v/>
      </c>
      <c r="R78" s="583" t="str">
        <f t="shared" si="15"/>
        <v/>
      </c>
      <c r="S78" s="579">
        <f t="shared" si="16"/>
        <v>15</v>
      </c>
    </row>
    <row r="79" spans="1:20">
      <c r="A79" s="532"/>
      <c r="B79" s="562">
        <f t="shared" si="18"/>
        <v>14</v>
      </c>
      <c r="C79" s="58"/>
      <c r="D79" s="592"/>
      <c r="E79" s="57" t="s">
        <v>1896</v>
      </c>
      <c r="F79" s="67"/>
      <c r="G79" s="55"/>
      <c r="H79" s="55"/>
      <c r="I79" s="55"/>
      <c r="J79" s="512"/>
      <c r="K79" s="583" t="str">
        <f t="shared" si="17"/>
        <v/>
      </c>
      <c r="L79" s="583" t="str">
        <f t="shared" si="15"/>
        <v/>
      </c>
      <c r="M79" s="583">
        <f t="shared" si="15"/>
        <v>0</v>
      </c>
      <c r="N79" s="583" t="str">
        <f t="shared" si="15"/>
        <v/>
      </c>
      <c r="O79" s="583" t="str">
        <f t="shared" si="15"/>
        <v/>
      </c>
      <c r="P79" s="583" t="str">
        <f t="shared" si="15"/>
        <v/>
      </c>
      <c r="Q79" s="583" t="str">
        <f t="shared" si="15"/>
        <v/>
      </c>
      <c r="R79" s="583" t="str">
        <f t="shared" si="15"/>
        <v/>
      </c>
      <c r="S79" s="579">
        <f t="shared" si="16"/>
        <v>16</v>
      </c>
    </row>
    <row r="80" spans="1:20">
      <c r="A80" s="532"/>
      <c r="B80" s="562">
        <f t="shared" si="18"/>
        <v>15</v>
      </c>
      <c r="C80" s="58"/>
      <c r="D80" s="592"/>
      <c r="E80" s="57" t="s">
        <v>1896</v>
      </c>
      <c r="F80" s="67"/>
      <c r="G80" s="55"/>
      <c r="H80" s="55"/>
      <c r="I80" s="55"/>
      <c r="J80" s="512"/>
      <c r="K80" s="583" t="str">
        <f t="shared" si="17"/>
        <v/>
      </c>
      <c r="L80" s="583" t="str">
        <f t="shared" si="15"/>
        <v/>
      </c>
      <c r="M80" s="583">
        <f t="shared" si="15"/>
        <v>0</v>
      </c>
      <c r="N80" s="583" t="str">
        <f t="shared" si="15"/>
        <v/>
      </c>
      <c r="O80" s="583" t="str">
        <f t="shared" si="15"/>
        <v/>
      </c>
      <c r="P80" s="583" t="str">
        <f t="shared" si="15"/>
        <v/>
      </c>
      <c r="Q80" s="583" t="str">
        <f t="shared" si="15"/>
        <v/>
      </c>
      <c r="R80" s="583" t="str">
        <f t="shared" si="15"/>
        <v/>
      </c>
      <c r="S80" s="579">
        <f t="shared" si="16"/>
        <v>17</v>
      </c>
    </row>
    <row r="81" spans="1:22">
      <c r="A81" s="532"/>
      <c r="B81" s="562">
        <f t="shared" si="18"/>
        <v>16</v>
      </c>
      <c r="C81" s="58"/>
      <c r="D81" s="592"/>
      <c r="E81" s="57" t="s">
        <v>1896</v>
      </c>
      <c r="F81" s="67"/>
      <c r="G81" s="55"/>
      <c r="H81" s="55"/>
      <c r="I81" s="55"/>
      <c r="J81" s="512"/>
      <c r="K81" s="583" t="str">
        <f t="shared" si="17"/>
        <v/>
      </c>
      <c r="L81" s="583" t="str">
        <f t="shared" si="15"/>
        <v/>
      </c>
      <c r="M81" s="583">
        <f t="shared" si="15"/>
        <v>0</v>
      </c>
      <c r="N81" s="583" t="str">
        <f t="shared" si="15"/>
        <v/>
      </c>
      <c r="O81" s="583" t="str">
        <f t="shared" si="15"/>
        <v/>
      </c>
      <c r="P81" s="583" t="str">
        <f t="shared" si="15"/>
        <v/>
      </c>
      <c r="Q81" s="583" t="str">
        <f t="shared" si="15"/>
        <v/>
      </c>
      <c r="R81" s="583" t="str">
        <f t="shared" si="15"/>
        <v/>
      </c>
      <c r="S81" s="579">
        <f t="shared" si="16"/>
        <v>18</v>
      </c>
    </row>
    <row r="82" spans="1:22">
      <c r="A82" s="532"/>
      <c r="B82" s="562">
        <f t="shared" si="18"/>
        <v>17</v>
      </c>
      <c r="C82" s="58"/>
      <c r="D82" s="592"/>
      <c r="E82" s="57" t="s">
        <v>1896</v>
      </c>
      <c r="F82" s="67"/>
      <c r="G82" s="55"/>
      <c r="H82" s="55"/>
      <c r="I82" s="55"/>
      <c r="J82" s="512"/>
      <c r="K82" s="583" t="str">
        <f t="shared" si="17"/>
        <v/>
      </c>
      <c r="L82" s="583" t="str">
        <f t="shared" si="17"/>
        <v/>
      </c>
      <c r="M82" s="583">
        <f t="shared" si="17"/>
        <v>0</v>
      </c>
      <c r="N82" s="583" t="str">
        <f t="shared" si="17"/>
        <v/>
      </c>
      <c r="O82" s="583" t="str">
        <f t="shared" si="17"/>
        <v/>
      </c>
      <c r="P82" s="583" t="str">
        <f t="shared" si="17"/>
        <v/>
      </c>
      <c r="Q82" s="583" t="str">
        <f t="shared" si="17"/>
        <v/>
      </c>
      <c r="R82" s="583" t="str">
        <f t="shared" si="17"/>
        <v/>
      </c>
      <c r="S82" s="579">
        <f t="shared" si="16"/>
        <v>19</v>
      </c>
    </row>
    <row r="83" spans="1:22">
      <c r="A83" s="532"/>
      <c r="B83" s="562">
        <f t="shared" si="18"/>
        <v>18</v>
      </c>
      <c r="C83" s="58"/>
      <c r="D83" s="592"/>
      <c r="E83" s="57" t="s">
        <v>1896</v>
      </c>
      <c r="F83" s="67"/>
      <c r="G83" s="55"/>
      <c r="H83" s="55"/>
      <c r="I83" s="55"/>
      <c r="J83" s="512"/>
      <c r="K83" s="583" t="str">
        <f t="shared" si="17"/>
        <v/>
      </c>
      <c r="L83" s="583" t="str">
        <f t="shared" si="17"/>
        <v/>
      </c>
      <c r="M83" s="583">
        <f t="shared" si="17"/>
        <v>0</v>
      </c>
      <c r="N83" s="583" t="str">
        <f t="shared" si="17"/>
        <v/>
      </c>
      <c r="O83" s="583" t="str">
        <f t="shared" si="17"/>
        <v/>
      </c>
      <c r="P83" s="583" t="str">
        <f t="shared" si="17"/>
        <v/>
      </c>
      <c r="Q83" s="583" t="str">
        <f t="shared" si="17"/>
        <v/>
      </c>
      <c r="R83" s="583" t="str">
        <f t="shared" si="17"/>
        <v/>
      </c>
      <c r="S83" s="579">
        <f t="shared" si="16"/>
        <v>20</v>
      </c>
    </row>
    <row r="84" spans="1:22">
      <c r="A84" s="532"/>
      <c r="B84" s="562">
        <f t="shared" si="18"/>
        <v>19</v>
      </c>
      <c r="C84" s="58"/>
      <c r="D84" s="592"/>
      <c r="E84" s="57" t="s">
        <v>1896</v>
      </c>
      <c r="F84" s="67"/>
      <c r="G84" s="55"/>
      <c r="H84" s="55"/>
      <c r="I84" s="55"/>
      <c r="J84" s="512"/>
      <c r="K84" s="583" t="str">
        <f t="shared" si="17"/>
        <v/>
      </c>
      <c r="L84" s="583" t="str">
        <f t="shared" si="17"/>
        <v/>
      </c>
      <c r="M84" s="583">
        <f t="shared" si="17"/>
        <v>0</v>
      </c>
      <c r="N84" s="583" t="str">
        <f t="shared" si="17"/>
        <v/>
      </c>
      <c r="O84" s="583" t="str">
        <f t="shared" si="17"/>
        <v/>
      </c>
      <c r="P84" s="583" t="str">
        <f t="shared" si="17"/>
        <v/>
      </c>
      <c r="Q84" s="583" t="str">
        <f t="shared" si="17"/>
        <v/>
      </c>
      <c r="R84" s="583" t="str">
        <f t="shared" si="17"/>
        <v/>
      </c>
      <c r="S84" s="579">
        <f t="shared" si="16"/>
        <v>21</v>
      </c>
    </row>
    <row r="85" spans="1:22">
      <c r="A85" s="532"/>
      <c r="B85" s="562">
        <f t="shared" si="18"/>
        <v>20</v>
      </c>
      <c r="C85" s="58"/>
      <c r="D85" s="592"/>
      <c r="E85" s="57" t="s">
        <v>1896</v>
      </c>
      <c r="F85" s="67"/>
      <c r="G85" s="55"/>
      <c r="H85" s="55"/>
      <c r="I85" s="55"/>
      <c r="J85" s="512"/>
      <c r="K85" s="583" t="str">
        <f t="shared" si="17"/>
        <v/>
      </c>
      <c r="L85" s="583" t="str">
        <f t="shared" si="17"/>
        <v/>
      </c>
      <c r="M85" s="583">
        <f t="shared" si="17"/>
        <v>0</v>
      </c>
      <c r="N85" s="583" t="str">
        <f t="shared" si="17"/>
        <v/>
      </c>
      <c r="O85" s="583" t="str">
        <f t="shared" si="17"/>
        <v/>
      </c>
      <c r="P85" s="583" t="str">
        <f t="shared" si="17"/>
        <v/>
      </c>
      <c r="Q85" s="583" t="str">
        <f t="shared" si="17"/>
        <v/>
      </c>
      <c r="R85" s="583" t="str">
        <f t="shared" si="17"/>
        <v/>
      </c>
      <c r="S85" s="579">
        <f t="shared" si="16"/>
        <v>22</v>
      </c>
    </row>
    <row r="86" spans="1:22">
      <c r="A86" s="538"/>
      <c r="B86" s="539"/>
      <c r="C86" s="539"/>
      <c r="E86" s="539"/>
      <c r="F86" s="539"/>
      <c r="G86" s="546"/>
      <c r="H86" s="546"/>
      <c r="I86" s="512"/>
      <c r="J86" s="512"/>
      <c r="K86" s="512"/>
      <c r="L86" s="512"/>
      <c r="M86" s="512"/>
      <c r="N86" s="512"/>
      <c r="O86" s="512"/>
      <c r="P86" s="512"/>
      <c r="Q86" s="512"/>
      <c r="R86" s="512"/>
      <c r="S86" s="579">
        <f t="shared" si="16"/>
        <v>23</v>
      </c>
    </row>
    <row r="87" spans="1:22" ht="15">
      <c r="B87" s="496"/>
      <c r="C87" s="496"/>
      <c r="E87" s="526"/>
      <c r="F87" s="575">
        <f>SUM(F65:F86)</f>
        <v>0</v>
      </c>
      <c r="G87" s="569">
        <f>SUM(G66:G86)</f>
        <v>0</v>
      </c>
      <c r="H87" s="514">
        <f>SUM(H66:H86)</f>
        <v>0</v>
      </c>
      <c r="I87" s="514">
        <f>SUM(I66:I86)</f>
        <v>0</v>
      </c>
      <c r="J87" s="536" t="str">
        <f>IF(F87-SUM(K87:R87)=0,"ok","E")</f>
        <v>ok</v>
      </c>
      <c r="K87" s="514">
        <f t="shared" ref="K87:R87" si="19">SUM(K66:K86)</f>
        <v>0</v>
      </c>
      <c r="L87" s="514">
        <f t="shared" si="19"/>
        <v>0</v>
      </c>
      <c r="M87" s="514">
        <f t="shared" si="19"/>
        <v>0</v>
      </c>
      <c r="N87" s="514">
        <f t="shared" si="19"/>
        <v>0</v>
      </c>
      <c r="O87" s="514">
        <f t="shared" si="19"/>
        <v>0</v>
      </c>
      <c r="P87" s="514">
        <f t="shared" si="19"/>
        <v>0</v>
      </c>
      <c r="Q87" s="514">
        <f t="shared" si="19"/>
        <v>0</v>
      </c>
      <c r="R87" s="514">
        <f t="shared" si="19"/>
        <v>0</v>
      </c>
      <c r="S87" s="579">
        <f t="shared" si="16"/>
        <v>24</v>
      </c>
    </row>
    <row r="88" spans="1:22" ht="12.75">
      <c r="B88" s="496"/>
      <c r="C88" s="496"/>
      <c r="E88" s="526"/>
      <c r="F88" s="505" t="s">
        <v>1711</v>
      </c>
      <c r="G88" s="135" t="s">
        <v>1845</v>
      </c>
      <c r="H88" s="135" t="s">
        <v>1845</v>
      </c>
      <c r="I88" s="135" t="s">
        <v>1845</v>
      </c>
      <c r="J88" s="536"/>
      <c r="K88" s="134" t="s">
        <v>1878</v>
      </c>
      <c r="L88" s="134" t="s">
        <v>1878</v>
      </c>
      <c r="M88" s="134" t="s">
        <v>1878</v>
      </c>
      <c r="N88" s="134" t="s">
        <v>1878</v>
      </c>
      <c r="O88" s="134" t="s">
        <v>1878</v>
      </c>
      <c r="P88" s="134" t="s">
        <v>1878</v>
      </c>
      <c r="Q88" s="134" t="s">
        <v>1878</v>
      </c>
      <c r="R88" s="134" t="s">
        <v>1878</v>
      </c>
      <c r="S88" s="577"/>
      <c r="T88" s="577"/>
      <c r="U88" s="577"/>
      <c r="V88" s="577"/>
    </row>
    <row r="89" spans="1:22">
      <c r="B89" s="496"/>
      <c r="C89" s="496"/>
      <c r="E89" s="526"/>
      <c r="F89" s="526"/>
      <c r="G89" s="361">
        <f>pasture</f>
        <v>1655.5</v>
      </c>
      <c r="H89" s="361">
        <f>native</f>
        <v>4196.5</v>
      </c>
      <c r="I89" s="361">
        <f>arid</f>
        <v>0</v>
      </c>
      <c r="J89" s="526"/>
      <c r="K89" s="361">
        <f>VLOOKUP(K64,Process_facs_values_subs,Subrates!$D$1,FALSE)</f>
        <v>98380.157093693182</v>
      </c>
      <c r="L89" s="361">
        <f>VLOOKUP(L64,Process_facs_values_subs,Subrates!$D$1,FALSE)</f>
        <v>171994.9456738515</v>
      </c>
      <c r="M89" s="361">
        <f>VLOOKUP(M64,Process_facs_values_subs,Subrates!$D$1,FALSE)</f>
        <v>335324.42496787658</v>
      </c>
      <c r="N89" s="361">
        <f>VLOOKUP(N64,Process_facs_values_subs,Subrates!$D$1,FALSE)</f>
        <v>403211.63668554387</v>
      </c>
      <c r="O89" s="361">
        <f>VLOOKUP(O64,Process_facs_values_subs,Subrates!$D$1,FALSE)</f>
        <v>538182.43319977704</v>
      </c>
      <c r="P89" s="361">
        <f>VLOOKUP(P64,Process_facs_values_subs,Subrates!$D$1,FALSE)</f>
        <v>643677.97895600635</v>
      </c>
      <c r="Q89" s="361">
        <f>VLOOKUP(Q64,Process_facs_values_subs,Subrates!$D$1,FALSE)</f>
        <v>2573627.7285158583</v>
      </c>
      <c r="R89" s="361">
        <f>VLOOKUP(R64,Process_facs_values_subs,Subrates!$D$1,FALSE)</f>
        <v>2949553.1566801406</v>
      </c>
      <c r="S89" s="526"/>
    </row>
    <row r="90" spans="1:22">
      <c r="B90" s="496"/>
      <c r="C90" s="496"/>
      <c r="E90" s="526"/>
      <c r="F90" s="526"/>
      <c r="G90" s="584">
        <f>G87*G89</f>
        <v>0</v>
      </c>
      <c r="H90" s="584">
        <f t="shared" ref="H90:R90" si="20">H87*H89</f>
        <v>0</v>
      </c>
      <c r="I90" s="584">
        <f t="shared" si="20"/>
        <v>0</v>
      </c>
      <c r="J90" s="526"/>
      <c r="K90" s="584">
        <f t="shared" si="20"/>
        <v>0</v>
      </c>
      <c r="L90" s="584">
        <f t="shared" si="20"/>
        <v>0</v>
      </c>
      <c r="M90" s="584">
        <f t="shared" si="20"/>
        <v>0</v>
      </c>
      <c r="N90" s="584">
        <f t="shared" si="20"/>
        <v>0</v>
      </c>
      <c r="O90" s="584">
        <f t="shared" si="20"/>
        <v>0</v>
      </c>
      <c r="P90" s="584">
        <f t="shared" si="20"/>
        <v>0</v>
      </c>
      <c r="Q90" s="584">
        <f t="shared" si="20"/>
        <v>0</v>
      </c>
      <c r="R90" s="584">
        <f t="shared" si="20"/>
        <v>0</v>
      </c>
      <c r="S90" s="526"/>
    </row>
    <row r="91" spans="1:22">
      <c r="B91" s="496"/>
      <c r="C91" s="496"/>
      <c r="E91" s="526"/>
      <c r="F91" s="526"/>
      <c r="G91" s="526"/>
      <c r="H91" s="526"/>
      <c r="I91" s="526"/>
      <c r="J91" s="526"/>
      <c r="K91" s="526"/>
      <c r="L91" s="526"/>
      <c r="M91" s="526"/>
      <c r="N91" s="526"/>
      <c r="O91" s="526"/>
      <c r="P91" s="526"/>
      <c r="Q91" s="526"/>
      <c r="R91" s="526"/>
      <c r="S91" s="526"/>
    </row>
    <row r="92" spans="1:22">
      <c r="E92" s="497"/>
      <c r="F92" s="494"/>
      <c r="H92" s="497"/>
      <c r="L92" s="494"/>
    </row>
    <row r="93" spans="1:22" ht="15.75">
      <c r="C93" s="571" t="s">
        <v>1902</v>
      </c>
      <c r="D93" s="498"/>
      <c r="G93" s="497"/>
      <c r="H93" s="497"/>
      <c r="I93" s="494"/>
      <c r="J93" s="494"/>
      <c r="K93" s="494"/>
      <c r="L93" s="494"/>
    </row>
    <row r="94" spans="1:22" ht="48">
      <c r="A94" s="532"/>
      <c r="B94" s="509" t="s">
        <v>80</v>
      </c>
      <c r="C94" s="509" t="s">
        <v>439</v>
      </c>
      <c r="D94" s="509" t="s">
        <v>1774</v>
      </c>
      <c r="E94" s="509" t="s">
        <v>121</v>
      </c>
      <c r="F94" s="509" t="s">
        <v>149</v>
      </c>
      <c r="G94" s="509" t="s">
        <v>1903</v>
      </c>
      <c r="H94" s="509" t="s">
        <v>1904</v>
      </c>
      <c r="I94" s="509" t="s">
        <v>1905</v>
      </c>
      <c r="K94" s="579" t="str">
        <f>Lists!C392</f>
        <v>Water transfer stations (small)</v>
      </c>
      <c r="L94" s="579" t="str">
        <f>Lists!C393</f>
        <v>Water transfer stations (medium)</v>
      </c>
      <c r="M94" s="579" t="str">
        <f>Lists!C394</f>
        <v>Water transfer stations (large)</v>
      </c>
      <c r="N94" s="581">
        <v>1</v>
      </c>
    </row>
    <row r="95" spans="1:22">
      <c r="A95" s="532"/>
      <c r="B95" s="533"/>
      <c r="C95" s="533"/>
      <c r="E95" s="544" t="s">
        <v>1777</v>
      </c>
      <c r="F95" s="533" t="s">
        <v>1906</v>
      </c>
      <c r="G95" s="533" t="s">
        <v>119</v>
      </c>
      <c r="H95" s="533" t="s">
        <v>119</v>
      </c>
      <c r="I95" s="533" t="s">
        <v>119</v>
      </c>
      <c r="M95" s="497"/>
      <c r="N95" s="581">
        <f>N94+1</f>
        <v>2</v>
      </c>
    </row>
    <row r="96" spans="1:22">
      <c r="A96" s="532"/>
      <c r="B96" s="562">
        <v>1</v>
      </c>
      <c r="C96" s="138"/>
      <c r="D96" s="591"/>
      <c r="E96" s="57" t="s">
        <v>1236</v>
      </c>
      <c r="F96" s="89"/>
      <c r="G96" s="55"/>
      <c r="H96" s="55"/>
      <c r="I96" s="55"/>
      <c r="J96" s="512"/>
      <c r="K96" s="583">
        <f>IF($E96=K$94,$F96,"")</f>
        <v>0</v>
      </c>
      <c r="L96" s="583" t="str">
        <f t="shared" ref="L96:M111" si="21">IF($E96=L$94,$F96,"")</f>
        <v/>
      </c>
      <c r="M96" s="583" t="str">
        <f t="shared" si="21"/>
        <v/>
      </c>
      <c r="N96" s="581">
        <f>N95+1</f>
        <v>3</v>
      </c>
    </row>
    <row r="97" spans="1:14">
      <c r="A97" s="532"/>
      <c r="B97" s="562">
        <f>B96+1</f>
        <v>2</v>
      </c>
      <c r="C97" s="138"/>
      <c r="D97" s="591"/>
      <c r="E97" s="57" t="s">
        <v>1238</v>
      </c>
      <c r="F97" s="67"/>
      <c r="G97" s="55"/>
      <c r="H97" s="55"/>
      <c r="I97" s="55"/>
      <c r="J97" s="512"/>
      <c r="K97" s="583" t="str">
        <f t="shared" ref="K97:M115" si="22">IF($E97=K$94,$F97,"")</f>
        <v/>
      </c>
      <c r="L97" s="583">
        <f t="shared" si="21"/>
        <v>0</v>
      </c>
      <c r="M97" s="583" t="str">
        <f t="shared" si="21"/>
        <v/>
      </c>
      <c r="N97" s="581">
        <f t="shared" ref="N97:N117" si="23">N96+1</f>
        <v>4</v>
      </c>
    </row>
    <row r="98" spans="1:14">
      <c r="A98" s="532"/>
      <c r="B98" s="562">
        <f t="shared" ref="B98:B115" si="24">B97+1</f>
        <v>3</v>
      </c>
      <c r="C98" s="138"/>
      <c r="D98" s="591"/>
      <c r="E98" s="57" t="s">
        <v>1240</v>
      </c>
      <c r="F98" s="67"/>
      <c r="G98" s="55"/>
      <c r="H98" s="55"/>
      <c r="I98" s="55"/>
      <c r="J98" s="512"/>
      <c r="K98" s="583" t="str">
        <f t="shared" si="22"/>
        <v/>
      </c>
      <c r="L98" s="583" t="str">
        <f t="shared" si="21"/>
        <v/>
      </c>
      <c r="M98" s="583">
        <f t="shared" si="21"/>
        <v>0</v>
      </c>
      <c r="N98" s="581">
        <f t="shared" si="23"/>
        <v>5</v>
      </c>
    </row>
    <row r="99" spans="1:14">
      <c r="A99" s="532"/>
      <c r="B99" s="562">
        <f t="shared" si="24"/>
        <v>4</v>
      </c>
      <c r="C99" s="138"/>
      <c r="D99" s="591"/>
      <c r="E99" s="57" t="s">
        <v>1236</v>
      </c>
      <c r="F99" s="67"/>
      <c r="G99" s="55"/>
      <c r="H99" s="55"/>
      <c r="I99" s="55"/>
      <c r="J99" s="512"/>
      <c r="K99" s="583">
        <f t="shared" si="22"/>
        <v>0</v>
      </c>
      <c r="L99" s="583" t="str">
        <f t="shared" si="21"/>
        <v/>
      </c>
      <c r="M99" s="583" t="str">
        <f t="shared" si="21"/>
        <v/>
      </c>
      <c r="N99" s="581">
        <f t="shared" si="23"/>
        <v>6</v>
      </c>
    </row>
    <row r="100" spans="1:14">
      <c r="A100" s="532"/>
      <c r="B100" s="562">
        <f t="shared" si="24"/>
        <v>5</v>
      </c>
      <c r="C100" s="138"/>
      <c r="D100" s="591"/>
      <c r="E100" s="57" t="s">
        <v>1236</v>
      </c>
      <c r="F100" s="67"/>
      <c r="G100" s="55"/>
      <c r="H100" s="55"/>
      <c r="I100" s="55"/>
      <c r="J100" s="512"/>
      <c r="K100" s="583">
        <f t="shared" si="22"/>
        <v>0</v>
      </c>
      <c r="L100" s="583" t="str">
        <f t="shared" si="21"/>
        <v/>
      </c>
      <c r="M100" s="583" t="str">
        <f t="shared" si="21"/>
        <v/>
      </c>
      <c r="N100" s="581">
        <f t="shared" si="23"/>
        <v>7</v>
      </c>
    </row>
    <row r="101" spans="1:14">
      <c r="A101" s="532"/>
      <c r="B101" s="562">
        <f t="shared" si="24"/>
        <v>6</v>
      </c>
      <c r="C101" s="138"/>
      <c r="D101" s="591"/>
      <c r="E101" s="57" t="s">
        <v>1236</v>
      </c>
      <c r="F101" s="67"/>
      <c r="G101" s="55"/>
      <c r="H101" s="55"/>
      <c r="I101" s="55"/>
      <c r="J101" s="512"/>
      <c r="K101" s="583">
        <f t="shared" si="22"/>
        <v>0</v>
      </c>
      <c r="L101" s="583" t="str">
        <f t="shared" si="21"/>
        <v/>
      </c>
      <c r="M101" s="583" t="str">
        <f t="shared" si="21"/>
        <v/>
      </c>
      <c r="N101" s="581">
        <f t="shared" si="23"/>
        <v>8</v>
      </c>
    </row>
    <row r="102" spans="1:14">
      <c r="A102" s="532"/>
      <c r="B102" s="562">
        <f t="shared" si="24"/>
        <v>7</v>
      </c>
      <c r="C102" s="138"/>
      <c r="D102" s="591"/>
      <c r="E102" s="57" t="s">
        <v>1236</v>
      </c>
      <c r="F102" s="67"/>
      <c r="G102" s="55"/>
      <c r="H102" s="55"/>
      <c r="I102" s="55"/>
      <c r="J102" s="512"/>
      <c r="K102" s="583">
        <f t="shared" si="22"/>
        <v>0</v>
      </c>
      <c r="L102" s="583" t="str">
        <f t="shared" si="21"/>
        <v/>
      </c>
      <c r="M102" s="583" t="str">
        <f t="shared" si="21"/>
        <v/>
      </c>
      <c r="N102" s="581">
        <f t="shared" si="23"/>
        <v>9</v>
      </c>
    </row>
    <row r="103" spans="1:14">
      <c r="A103" s="532"/>
      <c r="B103" s="562">
        <f t="shared" si="24"/>
        <v>8</v>
      </c>
      <c r="C103" s="138"/>
      <c r="D103" s="591"/>
      <c r="E103" s="57" t="s">
        <v>1236</v>
      </c>
      <c r="F103" s="67"/>
      <c r="G103" s="55"/>
      <c r="H103" s="55"/>
      <c r="I103" s="55"/>
      <c r="J103" s="512"/>
      <c r="K103" s="583">
        <f t="shared" si="22"/>
        <v>0</v>
      </c>
      <c r="L103" s="583" t="str">
        <f t="shared" si="21"/>
        <v/>
      </c>
      <c r="M103" s="583" t="str">
        <f t="shared" si="21"/>
        <v/>
      </c>
      <c r="N103" s="581">
        <f t="shared" si="23"/>
        <v>10</v>
      </c>
    </row>
    <row r="104" spans="1:14">
      <c r="A104" s="532"/>
      <c r="B104" s="562">
        <f t="shared" si="24"/>
        <v>9</v>
      </c>
      <c r="C104" s="138"/>
      <c r="D104" s="591"/>
      <c r="E104" s="57" t="s">
        <v>1236</v>
      </c>
      <c r="F104" s="67"/>
      <c r="G104" s="55"/>
      <c r="H104" s="55"/>
      <c r="I104" s="55"/>
      <c r="J104" s="512"/>
      <c r="K104" s="583">
        <f t="shared" si="22"/>
        <v>0</v>
      </c>
      <c r="L104" s="583" t="str">
        <f t="shared" si="21"/>
        <v/>
      </c>
      <c r="M104" s="583" t="str">
        <f t="shared" si="21"/>
        <v/>
      </c>
      <c r="N104" s="581">
        <f t="shared" si="23"/>
        <v>11</v>
      </c>
    </row>
    <row r="105" spans="1:14">
      <c r="A105" s="532"/>
      <c r="B105" s="562">
        <f t="shared" si="24"/>
        <v>10</v>
      </c>
      <c r="C105" s="138"/>
      <c r="D105" s="591"/>
      <c r="E105" s="57" t="s">
        <v>1236</v>
      </c>
      <c r="F105" s="67"/>
      <c r="G105" s="55"/>
      <c r="H105" s="55"/>
      <c r="I105" s="55"/>
      <c r="J105" s="512"/>
      <c r="K105" s="583">
        <f t="shared" si="22"/>
        <v>0</v>
      </c>
      <c r="L105" s="583" t="str">
        <f t="shared" si="21"/>
        <v/>
      </c>
      <c r="M105" s="583" t="str">
        <f t="shared" si="21"/>
        <v/>
      </c>
      <c r="N105" s="581">
        <f t="shared" si="23"/>
        <v>12</v>
      </c>
    </row>
    <row r="106" spans="1:14">
      <c r="A106" s="532"/>
      <c r="B106" s="562">
        <f t="shared" si="24"/>
        <v>11</v>
      </c>
      <c r="C106" s="138"/>
      <c r="D106" s="591"/>
      <c r="E106" s="57" t="s">
        <v>1236</v>
      </c>
      <c r="F106" s="67"/>
      <c r="G106" s="55"/>
      <c r="H106" s="55"/>
      <c r="I106" s="55"/>
      <c r="J106" s="512"/>
      <c r="K106" s="583">
        <f t="shared" si="22"/>
        <v>0</v>
      </c>
      <c r="L106" s="583" t="str">
        <f t="shared" si="21"/>
        <v/>
      </c>
      <c r="M106" s="583" t="str">
        <f t="shared" si="21"/>
        <v/>
      </c>
      <c r="N106" s="581">
        <f t="shared" si="23"/>
        <v>13</v>
      </c>
    </row>
    <row r="107" spans="1:14">
      <c r="A107" s="532"/>
      <c r="B107" s="562">
        <f t="shared" si="24"/>
        <v>12</v>
      </c>
      <c r="C107" s="138"/>
      <c r="D107" s="591"/>
      <c r="E107" s="57" t="s">
        <v>1236</v>
      </c>
      <c r="F107" s="67"/>
      <c r="G107" s="55"/>
      <c r="H107" s="55"/>
      <c r="I107" s="55"/>
      <c r="J107" s="512"/>
      <c r="K107" s="583">
        <f t="shared" si="22"/>
        <v>0</v>
      </c>
      <c r="L107" s="583" t="str">
        <f t="shared" si="21"/>
        <v/>
      </c>
      <c r="M107" s="583" t="str">
        <f t="shared" si="21"/>
        <v/>
      </c>
      <c r="N107" s="581">
        <f t="shared" si="23"/>
        <v>14</v>
      </c>
    </row>
    <row r="108" spans="1:14">
      <c r="A108" s="532"/>
      <c r="B108" s="562">
        <f t="shared" si="24"/>
        <v>13</v>
      </c>
      <c r="C108" s="138"/>
      <c r="D108" s="591"/>
      <c r="E108" s="57" t="s">
        <v>1236</v>
      </c>
      <c r="F108" s="67"/>
      <c r="G108" s="55"/>
      <c r="H108" s="55"/>
      <c r="I108" s="55"/>
      <c r="J108" s="512"/>
      <c r="K108" s="583">
        <f t="shared" si="22"/>
        <v>0</v>
      </c>
      <c r="L108" s="583" t="str">
        <f t="shared" si="21"/>
        <v/>
      </c>
      <c r="M108" s="583" t="str">
        <f t="shared" si="21"/>
        <v/>
      </c>
      <c r="N108" s="581">
        <f t="shared" si="23"/>
        <v>15</v>
      </c>
    </row>
    <row r="109" spans="1:14">
      <c r="A109" s="532"/>
      <c r="B109" s="562">
        <f t="shared" si="24"/>
        <v>14</v>
      </c>
      <c r="C109" s="138"/>
      <c r="D109" s="591"/>
      <c r="E109" s="57" t="s">
        <v>1236</v>
      </c>
      <c r="F109" s="67"/>
      <c r="G109" s="55"/>
      <c r="H109" s="55"/>
      <c r="I109" s="55"/>
      <c r="J109" s="512"/>
      <c r="K109" s="583">
        <f t="shared" si="22"/>
        <v>0</v>
      </c>
      <c r="L109" s="583" t="str">
        <f t="shared" si="21"/>
        <v/>
      </c>
      <c r="M109" s="583" t="str">
        <f t="shared" si="21"/>
        <v/>
      </c>
      <c r="N109" s="581">
        <f t="shared" si="23"/>
        <v>16</v>
      </c>
    </row>
    <row r="110" spans="1:14">
      <c r="A110" s="532"/>
      <c r="B110" s="562">
        <f t="shared" si="24"/>
        <v>15</v>
      </c>
      <c r="C110" s="138"/>
      <c r="D110" s="591"/>
      <c r="E110" s="57" t="s">
        <v>1236</v>
      </c>
      <c r="F110" s="67"/>
      <c r="G110" s="55"/>
      <c r="H110" s="55"/>
      <c r="I110" s="55"/>
      <c r="J110" s="512"/>
      <c r="K110" s="583">
        <f t="shared" si="22"/>
        <v>0</v>
      </c>
      <c r="L110" s="583" t="str">
        <f t="shared" si="21"/>
        <v/>
      </c>
      <c r="M110" s="583" t="str">
        <f t="shared" si="21"/>
        <v/>
      </c>
      <c r="N110" s="581">
        <f t="shared" si="23"/>
        <v>17</v>
      </c>
    </row>
    <row r="111" spans="1:14">
      <c r="A111" s="532"/>
      <c r="B111" s="562">
        <f t="shared" si="24"/>
        <v>16</v>
      </c>
      <c r="C111" s="138"/>
      <c r="D111" s="591"/>
      <c r="E111" s="57" t="s">
        <v>1236</v>
      </c>
      <c r="F111" s="67"/>
      <c r="G111" s="55"/>
      <c r="H111" s="55"/>
      <c r="I111" s="55"/>
      <c r="J111" s="512"/>
      <c r="K111" s="583">
        <f t="shared" si="22"/>
        <v>0</v>
      </c>
      <c r="L111" s="583" t="str">
        <f t="shared" si="21"/>
        <v/>
      </c>
      <c r="M111" s="583" t="str">
        <f t="shared" si="21"/>
        <v/>
      </c>
      <c r="N111" s="581">
        <f t="shared" si="23"/>
        <v>18</v>
      </c>
    </row>
    <row r="112" spans="1:14">
      <c r="A112" s="532"/>
      <c r="B112" s="562">
        <f t="shared" si="24"/>
        <v>17</v>
      </c>
      <c r="C112" s="138"/>
      <c r="D112" s="591"/>
      <c r="E112" s="57" t="s">
        <v>1236</v>
      </c>
      <c r="F112" s="67"/>
      <c r="G112" s="55"/>
      <c r="H112" s="55"/>
      <c r="I112" s="55"/>
      <c r="J112" s="512"/>
      <c r="K112" s="583">
        <f t="shared" si="22"/>
        <v>0</v>
      </c>
      <c r="L112" s="583" t="str">
        <f t="shared" si="22"/>
        <v/>
      </c>
      <c r="M112" s="583" t="str">
        <f t="shared" si="22"/>
        <v/>
      </c>
      <c r="N112" s="581">
        <f t="shared" si="23"/>
        <v>19</v>
      </c>
    </row>
    <row r="113" spans="1:22">
      <c r="A113" s="532"/>
      <c r="B113" s="562">
        <f t="shared" si="24"/>
        <v>18</v>
      </c>
      <c r="C113" s="138"/>
      <c r="D113" s="591"/>
      <c r="E113" s="57" t="s">
        <v>1236</v>
      </c>
      <c r="F113" s="67"/>
      <c r="G113" s="55"/>
      <c r="H113" s="55"/>
      <c r="I113" s="55"/>
      <c r="J113" s="512"/>
      <c r="K113" s="583">
        <f t="shared" si="22"/>
        <v>0</v>
      </c>
      <c r="L113" s="583" t="str">
        <f t="shared" si="22"/>
        <v/>
      </c>
      <c r="M113" s="583" t="str">
        <f t="shared" si="22"/>
        <v/>
      </c>
      <c r="N113" s="581">
        <f t="shared" si="23"/>
        <v>20</v>
      </c>
    </row>
    <row r="114" spans="1:22">
      <c r="A114" s="532"/>
      <c r="B114" s="562">
        <f t="shared" si="24"/>
        <v>19</v>
      </c>
      <c r="C114" s="138"/>
      <c r="D114" s="591"/>
      <c r="E114" s="57" t="s">
        <v>1236</v>
      </c>
      <c r="F114" s="67"/>
      <c r="G114" s="55"/>
      <c r="H114" s="55"/>
      <c r="I114" s="55"/>
      <c r="J114" s="512"/>
      <c r="K114" s="583">
        <f t="shared" si="22"/>
        <v>0</v>
      </c>
      <c r="L114" s="583" t="str">
        <f t="shared" si="22"/>
        <v/>
      </c>
      <c r="M114" s="583" t="str">
        <f t="shared" si="22"/>
        <v/>
      </c>
      <c r="N114" s="581">
        <f t="shared" si="23"/>
        <v>21</v>
      </c>
    </row>
    <row r="115" spans="1:22">
      <c r="A115" s="532"/>
      <c r="B115" s="562">
        <f t="shared" si="24"/>
        <v>20</v>
      </c>
      <c r="C115" s="138"/>
      <c r="D115" s="591"/>
      <c r="E115" s="57" t="s">
        <v>1236</v>
      </c>
      <c r="F115" s="67"/>
      <c r="G115" s="55"/>
      <c r="H115" s="55"/>
      <c r="I115" s="55"/>
      <c r="J115" s="512"/>
      <c r="K115" s="583">
        <f t="shared" si="22"/>
        <v>0</v>
      </c>
      <c r="L115" s="583" t="str">
        <f t="shared" si="22"/>
        <v/>
      </c>
      <c r="M115" s="583" t="str">
        <f t="shared" si="22"/>
        <v/>
      </c>
      <c r="N115" s="581">
        <f t="shared" si="23"/>
        <v>22</v>
      </c>
    </row>
    <row r="116" spans="1:22" ht="18" customHeight="1">
      <c r="A116" s="538"/>
      <c r="B116" s="539"/>
      <c r="C116" s="539"/>
      <c r="E116" s="539"/>
      <c r="F116" s="539"/>
      <c r="G116" s="546"/>
      <c r="H116" s="546"/>
      <c r="I116" s="512"/>
      <c r="J116" s="512"/>
      <c r="K116" s="583"/>
      <c r="L116" s="583"/>
      <c r="M116" s="583"/>
      <c r="N116" s="581">
        <f t="shared" si="23"/>
        <v>23</v>
      </c>
    </row>
    <row r="117" spans="1:22" ht="16.350000000000001" customHeight="1">
      <c r="B117" s="496"/>
      <c r="C117" s="496"/>
      <c r="E117" s="526"/>
      <c r="F117" s="575">
        <f>SUM(F95:F116)</f>
        <v>0</v>
      </c>
      <c r="G117" s="569">
        <f>SUM(G96:G116)</f>
        <v>0</v>
      </c>
      <c r="H117" s="514">
        <f>SUM(H96:H116)</f>
        <v>0</v>
      </c>
      <c r="I117" s="514">
        <f>SUM(I96:I116)</f>
        <v>0</v>
      </c>
      <c r="J117" s="536" t="str">
        <f>IF(F117-SUM(K117:M117)=0,"ok","E")</f>
        <v>ok</v>
      </c>
      <c r="K117" s="583">
        <f>SUM(K96:K116)</f>
        <v>0</v>
      </c>
      <c r="L117" s="583">
        <f>SUM(L96:L116)</f>
        <v>0</v>
      </c>
      <c r="M117" s="583">
        <f>SUM(M96:M116)</f>
        <v>0</v>
      </c>
      <c r="N117" s="581">
        <f t="shared" si="23"/>
        <v>24</v>
      </c>
    </row>
    <row r="118" spans="1:22" ht="16.350000000000001" customHeight="1">
      <c r="B118" s="496"/>
      <c r="C118" s="496"/>
      <c r="E118" s="526"/>
      <c r="F118" s="505" t="s">
        <v>1711</v>
      </c>
      <c r="G118" s="135" t="s">
        <v>1845</v>
      </c>
      <c r="H118" s="135" t="s">
        <v>1845</v>
      </c>
      <c r="I118" s="135" t="s">
        <v>1845</v>
      </c>
      <c r="J118" s="536"/>
      <c r="K118" s="134" t="s">
        <v>1878</v>
      </c>
      <c r="L118" s="134" t="s">
        <v>1878</v>
      </c>
      <c r="M118" s="134" t="s">
        <v>1878</v>
      </c>
      <c r="N118" s="577"/>
      <c r="O118" s="577"/>
      <c r="P118" s="577"/>
      <c r="Q118" s="577"/>
      <c r="R118" s="577"/>
      <c r="S118" s="577"/>
      <c r="T118" s="577"/>
      <c r="U118" s="577"/>
      <c r="V118" s="577"/>
    </row>
    <row r="119" spans="1:22" ht="16.350000000000001" customHeight="1">
      <c r="B119" s="496"/>
      <c r="C119" s="496"/>
      <c r="E119" s="536"/>
      <c r="F119" s="536"/>
      <c r="G119" s="361">
        <f>pasture</f>
        <v>1655.5</v>
      </c>
      <c r="H119" s="361">
        <f>native</f>
        <v>4196.5</v>
      </c>
      <c r="I119" s="361">
        <f>arid</f>
        <v>0</v>
      </c>
      <c r="J119" s="536"/>
      <c r="K119" s="361">
        <f>VLOOKUP(K94,Process_facs_values_subs,Subrates!$D$1,FALSE)</f>
        <v>60505.795767017473</v>
      </c>
      <c r="L119" s="361">
        <f>VLOOKUP(L94,Process_facs_values_subs,Subrates!$D$1,FALSE)</f>
        <v>176230.19533442293</v>
      </c>
      <c r="M119" s="361">
        <f>VLOOKUP(M94,Process_facs_values_subs,Subrates!$D$1,FALSE)</f>
        <v>275288.30427520763</v>
      </c>
      <c r="N119" s="585"/>
    </row>
    <row r="120" spans="1:22" ht="16.350000000000001" customHeight="1">
      <c r="B120" s="496"/>
      <c r="C120" s="496"/>
      <c r="E120" s="536"/>
      <c r="F120" s="536"/>
      <c r="G120" s="586">
        <f>G119*G117</f>
        <v>0</v>
      </c>
      <c r="H120" s="586">
        <f t="shared" ref="H120:M120" si="25">H119*H117</f>
        <v>0</v>
      </c>
      <c r="I120" s="586">
        <f t="shared" si="25"/>
        <v>0</v>
      </c>
      <c r="J120" s="536"/>
      <c r="K120" s="586">
        <f t="shared" si="25"/>
        <v>0</v>
      </c>
      <c r="L120" s="586">
        <f t="shared" si="25"/>
        <v>0</v>
      </c>
      <c r="M120" s="586">
        <f t="shared" si="25"/>
        <v>0</v>
      </c>
      <c r="N120" s="585"/>
    </row>
    <row r="121" spans="1:22" ht="16.350000000000001" customHeight="1"/>
    <row r="122" spans="1:22" ht="16.350000000000001" customHeight="1">
      <c r="C122" s="571" t="s">
        <v>1907</v>
      </c>
      <c r="D122" s="498"/>
      <c r="G122" s="497"/>
      <c r="H122" s="497"/>
      <c r="I122" s="494"/>
      <c r="J122" s="494"/>
      <c r="K122" s="494"/>
      <c r="L122" s="494"/>
    </row>
    <row r="123" spans="1:22" ht="50.1" customHeight="1">
      <c r="A123" s="532"/>
      <c r="B123" s="509" t="s">
        <v>80</v>
      </c>
      <c r="C123" s="509" t="s">
        <v>439</v>
      </c>
      <c r="D123" s="509" t="s">
        <v>1774</v>
      </c>
      <c r="E123" s="509" t="s">
        <v>121</v>
      </c>
      <c r="F123" s="509" t="s">
        <v>149</v>
      </c>
      <c r="G123" s="509" t="s">
        <v>1908</v>
      </c>
      <c r="H123" s="509" t="s">
        <v>1909</v>
      </c>
      <c r="I123" s="509" t="s">
        <v>1910</v>
      </c>
      <c r="K123" s="587" t="str">
        <f>Lists!E372</f>
        <v>Conventional Oil &gt; 0 and &lt;= 50 kL</v>
      </c>
      <c r="L123" s="587" t="str">
        <f>Lists!F372</f>
        <v>Conventional Oil &gt; 50 and &lt;= 200 kL</v>
      </c>
      <c r="M123" s="587" t="str">
        <f>Lists!G372</f>
        <v>Conventional Oil &gt; 200 and &lt;= 1000 kL</v>
      </c>
      <c r="N123" s="587" t="str">
        <f>Lists!H372</f>
        <v>Conventional Oil &gt; 1000 and &lt;= 5000 kL</v>
      </c>
      <c r="O123" s="587" t="str">
        <f>Lists!I372</f>
        <v>Conventional Oil &gt; 5000 and &lt;= 10000 kL</v>
      </c>
      <c r="P123" s="587" t="str">
        <f>Lists!J372</f>
        <v>Conventional Oil &gt; 10000 and &lt;= 25000 kL</v>
      </c>
      <c r="Q123" s="587" t="str">
        <f>Lists!K372</f>
        <v>Conventional Oil &gt; 25000 and &lt;= 50000 kL</v>
      </c>
      <c r="R123" s="588">
        <f>N124+1</f>
        <v>1</v>
      </c>
    </row>
    <row r="124" spans="1:22" ht="18" customHeight="1">
      <c r="A124" s="532"/>
      <c r="B124" s="533"/>
      <c r="C124" s="533"/>
      <c r="E124" s="544" t="s">
        <v>1777</v>
      </c>
      <c r="F124" s="533" t="s">
        <v>1763</v>
      </c>
      <c r="G124" s="533" t="s">
        <v>119</v>
      </c>
      <c r="H124" s="533" t="s">
        <v>119</v>
      </c>
      <c r="I124" s="533" t="s">
        <v>119</v>
      </c>
      <c r="M124" s="497"/>
      <c r="N124" s="497"/>
      <c r="O124" s="497"/>
      <c r="P124" s="497"/>
      <c r="Q124" s="497"/>
      <c r="R124" s="588">
        <f t="shared" ref="R124:R146" si="26">R123+1</f>
        <v>2</v>
      </c>
    </row>
    <row r="125" spans="1:22">
      <c r="A125" s="532"/>
      <c r="B125" s="562">
        <v>1</v>
      </c>
      <c r="C125" s="138"/>
      <c r="D125" s="591"/>
      <c r="E125" s="57" t="s">
        <v>1911</v>
      </c>
      <c r="F125" s="89"/>
      <c r="G125" s="55"/>
      <c r="H125" s="55"/>
      <c r="I125" s="55"/>
      <c r="J125" s="512"/>
      <c r="K125" s="589">
        <f>IF($E125=K$123,$F125,"")</f>
        <v>0</v>
      </c>
      <c r="L125" s="589" t="str">
        <f t="shared" ref="L125:Q140" si="27">IF($E125=L$123,$F125,"")</f>
        <v/>
      </c>
      <c r="M125" s="589" t="str">
        <f t="shared" si="27"/>
        <v/>
      </c>
      <c r="N125" s="589" t="str">
        <f t="shared" si="27"/>
        <v/>
      </c>
      <c r="O125" s="589" t="str">
        <f t="shared" si="27"/>
        <v/>
      </c>
      <c r="P125" s="589" t="str">
        <f t="shared" si="27"/>
        <v/>
      </c>
      <c r="Q125" s="589" t="str">
        <f t="shared" si="27"/>
        <v/>
      </c>
      <c r="R125" s="588">
        <f t="shared" si="26"/>
        <v>3</v>
      </c>
    </row>
    <row r="126" spans="1:22">
      <c r="A126" s="532"/>
      <c r="B126" s="562">
        <f>B125+1</f>
        <v>2</v>
      </c>
      <c r="C126" s="138"/>
      <c r="D126" s="591"/>
      <c r="E126" s="57" t="s">
        <v>1912</v>
      </c>
      <c r="F126" s="67"/>
      <c r="G126" s="55"/>
      <c r="H126" s="55"/>
      <c r="I126" s="55"/>
      <c r="J126" s="512"/>
      <c r="K126" s="589" t="str">
        <f t="shared" ref="K126:Q144" si="28">IF($E126=K$123,$F126,"")</f>
        <v/>
      </c>
      <c r="L126" s="589">
        <f t="shared" si="27"/>
        <v>0</v>
      </c>
      <c r="M126" s="589" t="str">
        <f t="shared" si="27"/>
        <v/>
      </c>
      <c r="N126" s="589" t="str">
        <f t="shared" si="27"/>
        <v/>
      </c>
      <c r="O126" s="589" t="str">
        <f t="shared" si="27"/>
        <v/>
      </c>
      <c r="P126" s="589" t="str">
        <f t="shared" si="27"/>
        <v/>
      </c>
      <c r="Q126" s="589" t="str">
        <f t="shared" si="27"/>
        <v/>
      </c>
      <c r="R126" s="588">
        <f t="shared" si="26"/>
        <v>4</v>
      </c>
    </row>
    <row r="127" spans="1:22">
      <c r="A127" s="532"/>
      <c r="B127" s="562">
        <f t="shared" ref="B127:B144" si="29">B126+1</f>
        <v>3</v>
      </c>
      <c r="C127" s="138"/>
      <c r="D127" s="591"/>
      <c r="E127" s="57" t="s">
        <v>1913</v>
      </c>
      <c r="F127" s="67"/>
      <c r="G127" s="55"/>
      <c r="H127" s="55"/>
      <c r="I127" s="55"/>
      <c r="J127" s="512"/>
      <c r="K127" s="589" t="str">
        <f t="shared" si="28"/>
        <v/>
      </c>
      <c r="L127" s="589" t="str">
        <f t="shared" si="27"/>
        <v/>
      </c>
      <c r="M127" s="589">
        <f t="shared" si="27"/>
        <v>0</v>
      </c>
      <c r="N127" s="589" t="str">
        <f t="shared" si="27"/>
        <v/>
      </c>
      <c r="O127" s="589" t="str">
        <f t="shared" si="27"/>
        <v/>
      </c>
      <c r="P127" s="589" t="str">
        <f t="shared" si="27"/>
        <v/>
      </c>
      <c r="Q127" s="589" t="str">
        <f t="shared" si="27"/>
        <v/>
      </c>
      <c r="R127" s="588">
        <f t="shared" si="26"/>
        <v>5</v>
      </c>
    </row>
    <row r="128" spans="1:22">
      <c r="A128" s="532"/>
      <c r="B128" s="562">
        <f t="shared" si="29"/>
        <v>4</v>
      </c>
      <c r="C128" s="138"/>
      <c r="D128" s="591"/>
      <c r="E128" s="57" t="s">
        <v>1914</v>
      </c>
      <c r="F128" s="67"/>
      <c r="G128" s="55"/>
      <c r="H128" s="55"/>
      <c r="I128" s="55"/>
      <c r="J128" s="512"/>
      <c r="K128" s="589" t="str">
        <f t="shared" si="28"/>
        <v/>
      </c>
      <c r="L128" s="589" t="str">
        <f t="shared" si="27"/>
        <v/>
      </c>
      <c r="M128" s="589" t="str">
        <f t="shared" si="27"/>
        <v/>
      </c>
      <c r="N128" s="589">
        <f t="shared" si="27"/>
        <v>0</v>
      </c>
      <c r="O128" s="589" t="str">
        <f t="shared" si="27"/>
        <v/>
      </c>
      <c r="P128" s="589" t="str">
        <f t="shared" si="27"/>
        <v/>
      </c>
      <c r="Q128" s="589" t="str">
        <f t="shared" si="27"/>
        <v/>
      </c>
      <c r="R128" s="588">
        <f t="shared" si="26"/>
        <v>6</v>
      </c>
    </row>
    <row r="129" spans="1:18">
      <c r="A129" s="532"/>
      <c r="B129" s="562">
        <f t="shared" si="29"/>
        <v>5</v>
      </c>
      <c r="C129" s="138"/>
      <c r="D129" s="591"/>
      <c r="E129" s="57" t="s">
        <v>1915</v>
      </c>
      <c r="F129" s="67"/>
      <c r="G129" s="55"/>
      <c r="H129" s="55"/>
      <c r="I129" s="55"/>
      <c r="J129" s="512"/>
      <c r="K129" s="589" t="str">
        <f t="shared" si="28"/>
        <v/>
      </c>
      <c r="L129" s="589" t="str">
        <f t="shared" si="27"/>
        <v/>
      </c>
      <c r="M129" s="589" t="str">
        <f t="shared" si="27"/>
        <v/>
      </c>
      <c r="N129" s="589" t="str">
        <f t="shared" si="27"/>
        <v/>
      </c>
      <c r="O129" s="589">
        <f t="shared" si="27"/>
        <v>0</v>
      </c>
      <c r="P129" s="589" t="str">
        <f t="shared" si="27"/>
        <v/>
      </c>
      <c r="Q129" s="589" t="str">
        <f t="shared" si="27"/>
        <v/>
      </c>
      <c r="R129" s="588">
        <f t="shared" si="26"/>
        <v>7</v>
      </c>
    </row>
    <row r="130" spans="1:18">
      <c r="A130" s="532"/>
      <c r="B130" s="562">
        <f t="shared" si="29"/>
        <v>6</v>
      </c>
      <c r="C130" s="138"/>
      <c r="D130" s="591"/>
      <c r="E130" s="57" t="s">
        <v>1916</v>
      </c>
      <c r="F130" s="67"/>
      <c r="G130" s="55"/>
      <c r="H130" s="55"/>
      <c r="I130" s="55"/>
      <c r="J130" s="512"/>
      <c r="K130" s="589" t="str">
        <f t="shared" si="28"/>
        <v/>
      </c>
      <c r="L130" s="589" t="str">
        <f t="shared" si="27"/>
        <v/>
      </c>
      <c r="M130" s="589" t="str">
        <f t="shared" si="27"/>
        <v/>
      </c>
      <c r="N130" s="589" t="str">
        <f t="shared" si="27"/>
        <v/>
      </c>
      <c r="O130" s="589" t="str">
        <f t="shared" si="27"/>
        <v/>
      </c>
      <c r="P130" s="589">
        <f t="shared" si="27"/>
        <v>0</v>
      </c>
      <c r="Q130" s="589" t="str">
        <f t="shared" si="27"/>
        <v/>
      </c>
      <c r="R130" s="588">
        <f t="shared" si="26"/>
        <v>8</v>
      </c>
    </row>
    <row r="131" spans="1:18">
      <c r="A131" s="532"/>
      <c r="B131" s="562">
        <f t="shared" si="29"/>
        <v>7</v>
      </c>
      <c r="C131" s="138"/>
      <c r="D131" s="591"/>
      <c r="E131" s="57" t="s">
        <v>1917</v>
      </c>
      <c r="F131" s="67"/>
      <c r="G131" s="55"/>
      <c r="H131" s="55"/>
      <c r="I131" s="55"/>
      <c r="J131" s="512"/>
      <c r="K131" s="589" t="str">
        <f t="shared" si="28"/>
        <v/>
      </c>
      <c r="L131" s="589" t="str">
        <f t="shared" si="27"/>
        <v/>
      </c>
      <c r="M131" s="589" t="str">
        <f t="shared" si="27"/>
        <v/>
      </c>
      <c r="N131" s="589" t="str">
        <f t="shared" si="27"/>
        <v/>
      </c>
      <c r="O131" s="589" t="str">
        <f t="shared" si="27"/>
        <v/>
      </c>
      <c r="P131" s="589" t="str">
        <f t="shared" si="27"/>
        <v/>
      </c>
      <c r="Q131" s="589">
        <f t="shared" si="27"/>
        <v>0</v>
      </c>
      <c r="R131" s="588">
        <f t="shared" si="26"/>
        <v>9</v>
      </c>
    </row>
    <row r="132" spans="1:18">
      <c r="A132" s="532"/>
      <c r="B132" s="562">
        <f t="shared" si="29"/>
        <v>8</v>
      </c>
      <c r="C132" s="138"/>
      <c r="D132" s="591"/>
      <c r="E132" s="57" t="s">
        <v>1911</v>
      </c>
      <c r="F132" s="67"/>
      <c r="G132" s="55"/>
      <c r="H132" s="55"/>
      <c r="I132" s="55"/>
      <c r="J132" s="512"/>
      <c r="K132" s="589">
        <f t="shared" si="28"/>
        <v>0</v>
      </c>
      <c r="L132" s="589" t="str">
        <f t="shared" si="27"/>
        <v/>
      </c>
      <c r="M132" s="589" t="str">
        <f t="shared" si="27"/>
        <v/>
      </c>
      <c r="N132" s="589" t="str">
        <f t="shared" si="27"/>
        <v/>
      </c>
      <c r="O132" s="589" t="str">
        <f t="shared" si="27"/>
        <v/>
      </c>
      <c r="P132" s="589" t="str">
        <f t="shared" si="27"/>
        <v/>
      </c>
      <c r="Q132" s="589" t="str">
        <f t="shared" si="27"/>
        <v/>
      </c>
      <c r="R132" s="588">
        <f t="shared" si="26"/>
        <v>10</v>
      </c>
    </row>
    <row r="133" spans="1:18">
      <c r="A133" s="532"/>
      <c r="B133" s="562">
        <f t="shared" si="29"/>
        <v>9</v>
      </c>
      <c r="C133" s="138"/>
      <c r="D133" s="591"/>
      <c r="E133" s="57" t="s">
        <v>1911</v>
      </c>
      <c r="F133" s="67"/>
      <c r="G133" s="55"/>
      <c r="H133" s="55"/>
      <c r="I133" s="55"/>
      <c r="J133" s="512"/>
      <c r="K133" s="589">
        <f t="shared" si="28"/>
        <v>0</v>
      </c>
      <c r="L133" s="589" t="str">
        <f t="shared" si="27"/>
        <v/>
      </c>
      <c r="M133" s="589" t="str">
        <f t="shared" si="27"/>
        <v/>
      </c>
      <c r="N133" s="589" t="str">
        <f t="shared" si="27"/>
        <v/>
      </c>
      <c r="O133" s="589" t="str">
        <f t="shared" si="27"/>
        <v/>
      </c>
      <c r="P133" s="589" t="str">
        <f t="shared" si="27"/>
        <v/>
      </c>
      <c r="Q133" s="589" t="str">
        <f t="shared" si="27"/>
        <v/>
      </c>
      <c r="R133" s="588">
        <f t="shared" si="26"/>
        <v>11</v>
      </c>
    </row>
    <row r="134" spans="1:18">
      <c r="A134" s="532"/>
      <c r="B134" s="562">
        <f t="shared" si="29"/>
        <v>10</v>
      </c>
      <c r="C134" s="138"/>
      <c r="D134" s="591"/>
      <c r="E134" s="57" t="s">
        <v>1911</v>
      </c>
      <c r="F134" s="67"/>
      <c r="G134" s="55"/>
      <c r="H134" s="55"/>
      <c r="I134" s="55"/>
      <c r="J134" s="512"/>
      <c r="K134" s="589">
        <f t="shared" si="28"/>
        <v>0</v>
      </c>
      <c r="L134" s="589" t="str">
        <f t="shared" si="27"/>
        <v/>
      </c>
      <c r="M134" s="589" t="str">
        <f t="shared" si="27"/>
        <v/>
      </c>
      <c r="N134" s="589" t="str">
        <f t="shared" si="27"/>
        <v/>
      </c>
      <c r="O134" s="589" t="str">
        <f t="shared" si="27"/>
        <v/>
      </c>
      <c r="P134" s="589" t="str">
        <f t="shared" si="27"/>
        <v/>
      </c>
      <c r="Q134" s="589" t="str">
        <f t="shared" si="27"/>
        <v/>
      </c>
      <c r="R134" s="588">
        <f t="shared" si="26"/>
        <v>12</v>
      </c>
    </row>
    <row r="135" spans="1:18">
      <c r="A135" s="532"/>
      <c r="B135" s="562">
        <f t="shared" si="29"/>
        <v>11</v>
      </c>
      <c r="C135" s="138"/>
      <c r="D135" s="591"/>
      <c r="E135" s="57" t="s">
        <v>1911</v>
      </c>
      <c r="F135" s="67"/>
      <c r="G135" s="55"/>
      <c r="H135" s="55"/>
      <c r="I135" s="55"/>
      <c r="J135" s="512"/>
      <c r="K135" s="589">
        <f t="shared" si="28"/>
        <v>0</v>
      </c>
      <c r="L135" s="589" t="str">
        <f t="shared" si="27"/>
        <v/>
      </c>
      <c r="M135" s="589" t="str">
        <f t="shared" si="27"/>
        <v/>
      </c>
      <c r="N135" s="589" t="str">
        <f t="shared" si="27"/>
        <v/>
      </c>
      <c r="O135" s="589" t="str">
        <f t="shared" si="27"/>
        <v/>
      </c>
      <c r="P135" s="589" t="str">
        <f t="shared" si="27"/>
        <v/>
      </c>
      <c r="Q135" s="589" t="str">
        <f t="shared" si="27"/>
        <v/>
      </c>
      <c r="R135" s="588">
        <f t="shared" si="26"/>
        <v>13</v>
      </c>
    </row>
    <row r="136" spans="1:18">
      <c r="A136" s="532"/>
      <c r="B136" s="562">
        <f t="shared" si="29"/>
        <v>12</v>
      </c>
      <c r="C136" s="138"/>
      <c r="D136" s="591"/>
      <c r="E136" s="57" t="s">
        <v>1911</v>
      </c>
      <c r="F136" s="67"/>
      <c r="G136" s="55"/>
      <c r="H136" s="55"/>
      <c r="I136" s="55"/>
      <c r="J136" s="512"/>
      <c r="K136" s="589">
        <f t="shared" si="28"/>
        <v>0</v>
      </c>
      <c r="L136" s="589" t="str">
        <f t="shared" si="27"/>
        <v/>
      </c>
      <c r="M136" s="589" t="str">
        <f t="shared" si="27"/>
        <v/>
      </c>
      <c r="N136" s="589" t="str">
        <f t="shared" si="27"/>
        <v/>
      </c>
      <c r="O136" s="589" t="str">
        <f t="shared" si="27"/>
        <v/>
      </c>
      <c r="P136" s="589" t="str">
        <f t="shared" si="27"/>
        <v/>
      </c>
      <c r="Q136" s="589" t="str">
        <f t="shared" si="27"/>
        <v/>
      </c>
      <c r="R136" s="588">
        <f t="shared" si="26"/>
        <v>14</v>
      </c>
    </row>
    <row r="137" spans="1:18">
      <c r="A137" s="532"/>
      <c r="B137" s="562">
        <f t="shared" si="29"/>
        <v>13</v>
      </c>
      <c r="C137" s="138"/>
      <c r="D137" s="591"/>
      <c r="E137" s="57" t="s">
        <v>1911</v>
      </c>
      <c r="F137" s="67"/>
      <c r="G137" s="55"/>
      <c r="H137" s="55"/>
      <c r="I137" s="55"/>
      <c r="J137" s="512"/>
      <c r="K137" s="589">
        <f t="shared" si="28"/>
        <v>0</v>
      </c>
      <c r="L137" s="589" t="str">
        <f t="shared" si="27"/>
        <v/>
      </c>
      <c r="M137" s="589" t="str">
        <f t="shared" si="27"/>
        <v/>
      </c>
      <c r="N137" s="589" t="str">
        <f t="shared" si="27"/>
        <v/>
      </c>
      <c r="O137" s="589" t="str">
        <f t="shared" si="27"/>
        <v/>
      </c>
      <c r="P137" s="589" t="str">
        <f t="shared" si="27"/>
        <v/>
      </c>
      <c r="Q137" s="589" t="str">
        <f t="shared" si="27"/>
        <v/>
      </c>
      <c r="R137" s="588">
        <f t="shared" si="26"/>
        <v>15</v>
      </c>
    </row>
    <row r="138" spans="1:18">
      <c r="A138" s="532"/>
      <c r="B138" s="562">
        <f t="shared" si="29"/>
        <v>14</v>
      </c>
      <c r="C138" s="138"/>
      <c r="D138" s="591"/>
      <c r="E138" s="57" t="s">
        <v>1911</v>
      </c>
      <c r="F138" s="67"/>
      <c r="G138" s="55"/>
      <c r="H138" s="55"/>
      <c r="I138" s="55"/>
      <c r="J138" s="512"/>
      <c r="K138" s="589">
        <f t="shared" si="28"/>
        <v>0</v>
      </c>
      <c r="L138" s="589" t="str">
        <f t="shared" si="27"/>
        <v/>
      </c>
      <c r="M138" s="589" t="str">
        <f t="shared" si="27"/>
        <v/>
      </c>
      <c r="N138" s="589" t="str">
        <f t="shared" si="27"/>
        <v/>
      </c>
      <c r="O138" s="589" t="str">
        <f t="shared" si="27"/>
        <v/>
      </c>
      <c r="P138" s="589" t="str">
        <f t="shared" si="27"/>
        <v/>
      </c>
      <c r="Q138" s="589" t="str">
        <f t="shared" si="27"/>
        <v/>
      </c>
      <c r="R138" s="588">
        <f t="shared" si="26"/>
        <v>16</v>
      </c>
    </row>
    <row r="139" spans="1:18">
      <c r="A139" s="532"/>
      <c r="B139" s="562">
        <f t="shared" si="29"/>
        <v>15</v>
      </c>
      <c r="C139" s="138"/>
      <c r="D139" s="591"/>
      <c r="E139" s="57" t="s">
        <v>1911</v>
      </c>
      <c r="F139" s="67"/>
      <c r="G139" s="55"/>
      <c r="H139" s="55"/>
      <c r="I139" s="55"/>
      <c r="J139" s="512"/>
      <c r="K139" s="589">
        <f t="shared" si="28"/>
        <v>0</v>
      </c>
      <c r="L139" s="589" t="str">
        <f t="shared" si="27"/>
        <v/>
      </c>
      <c r="M139" s="589" t="str">
        <f t="shared" si="27"/>
        <v/>
      </c>
      <c r="N139" s="589" t="str">
        <f t="shared" si="27"/>
        <v/>
      </c>
      <c r="O139" s="589" t="str">
        <f t="shared" si="27"/>
        <v/>
      </c>
      <c r="P139" s="589" t="str">
        <f t="shared" si="27"/>
        <v/>
      </c>
      <c r="Q139" s="589" t="str">
        <f t="shared" si="27"/>
        <v/>
      </c>
      <c r="R139" s="588">
        <f t="shared" si="26"/>
        <v>17</v>
      </c>
    </row>
    <row r="140" spans="1:18">
      <c r="A140" s="532"/>
      <c r="B140" s="562">
        <f t="shared" si="29"/>
        <v>16</v>
      </c>
      <c r="C140" s="138"/>
      <c r="D140" s="591"/>
      <c r="E140" s="57" t="s">
        <v>1911</v>
      </c>
      <c r="F140" s="67"/>
      <c r="G140" s="55"/>
      <c r="H140" s="55"/>
      <c r="I140" s="55"/>
      <c r="J140" s="512"/>
      <c r="K140" s="589">
        <f t="shared" si="28"/>
        <v>0</v>
      </c>
      <c r="L140" s="589" t="str">
        <f t="shared" si="27"/>
        <v/>
      </c>
      <c r="M140" s="589" t="str">
        <f t="shared" si="27"/>
        <v/>
      </c>
      <c r="N140" s="589" t="str">
        <f t="shared" si="27"/>
        <v/>
      </c>
      <c r="O140" s="589" t="str">
        <f t="shared" si="27"/>
        <v/>
      </c>
      <c r="P140" s="589" t="str">
        <f t="shared" si="27"/>
        <v/>
      </c>
      <c r="Q140" s="589" t="str">
        <f t="shared" si="27"/>
        <v/>
      </c>
      <c r="R140" s="588">
        <f t="shared" si="26"/>
        <v>18</v>
      </c>
    </row>
    <row r="141" spans="1:18">
      <c r="A141" s="532"/>
      <c r="B141" s="562">
        <f t="shared" si="29"/>
        <v>17</v>
      </c>
      <c r="C141" s="138"/>
      <c r="D141" s="591"/>
      <c r="E141" s="57" t="s">
        <v>1911</v>
      </c>
      <c r="F141" s="67"/>
      <c r="G141" s="55"/>
      <c r="H141" s="55"/>
      <c r="I141" s="55"/>
      <c r="J141" s="512"/>
      <c r="K141" s="589">
        <f t="shared" si="28"/>
        <v>0</v>
      </c>
      <c r="L141" s="589" t="str">
        <f t="shared" si="28"/>
        <v/>
      </c>
      <c r="M141" s="589" t="str">
        <f t="shared" si="28"/>
        <v/>
      </c>
      <c r="N141" s="589" t="str">
        <f t="shared" si="28"/>
        <v/>
      </c>
      <c r="O141" s="589" t="str">
        <f t="shared" si="28"/>
        <v/>
      </c>
      <c r="P141" s="589" t="str">
        <f t="shared" si="28"/>
        <v/>
      </c>
      <c r="Q141" s="589" t="str">
        <f t="shared" si="28"/>
        <v/>
      </c>
      <c r="R141" s="588">
        <f t="shared" si="26"/>
        <v>19</v>
      </c>
    </row>
    <row r="142" spans="1:18">
      <c r="A142" s="532"/>
      <c r="B142" s="562">
        <f t="shared" si="29"/>
        <v>18</v>
      </c>
      <c r="C142" s="138"/>
      <c r="D142" s="591"/>
      <c r="E142" s="57" t="s">
        <v>1911</v>
      </c>
      <c r="F142" s="67"/>
      <c r="G142" s="55"/>
      <c r="H142" s="55"/>
      <c r="I142" s="55"/>
      <c r="J142" s="512"/>
      <c r="K142" s="589">
        <f t="shared" si="28"/>
        <v>0</v>
      </c>
      <c r="L142" s="589" t="str">
        <f t="shared" si="28"/>
        <v/>
      </c>
      <c r="M142" s="589" t="str">
        <f t="shared" si="28"/>
        <v/>
      </c>
      <c r="N142" s="589" t="str">
        <f t="shared" si="28"/>
        <v/>
      </c>
      <c r="O142" s="589" t="str">
        <f t="shared" si="28"/>
        <v/>
      </c>
      <c r="P142" s="589" t="str">
        <f t="shared" si="28"/>
        <v/>
      </c>
      <c r="Q142" s="589" t="str">
        <f t="shared" si="28"/>
        <v/>
      </c>
      <c r="R142" s="588">
        <f t="shared" si="26"/>
        <v>20</v>
      </c>
    </row>
    <row r="143" spans="1:18">
      <c r="A143" s="532"/>
      <c r="B143" s="562">
        <f t="shared" si="29"/>
        <v>19</v>
      </c>
      <c r="C143" s="138"/>
      <c r="D143" s="591"/>
      <c r="E143" s="57" t="s">
        <v>1911</v>
      </c>
      <c r="F143" s="67"/>
      <c r="G143" s="55"/>
      <c r="H143" s="55"/>
      <c r="I143" s="55"/>
      <c r="J143" s="512"/>
      <c r="K143" s="589">
        <f t="shared" si="28"/>
        <v>0</v>
      </c>
      <c r="L143" s="589" t="str">
        <f t="shared" si="28"/>
        <v/>
      </c>
      <c r="M143" s="589" t="str">
        <f t="shared" si="28"/>
        <v/>
      </c>
      <c r="N143" s="589" t="str">
        <f t="shared" si="28"/>
        <v/>
      </c>
      <c r="O143" s="589" t="str">
        <f t="shared" si="28"/>
        <v/>
      </c>
      <c r="P143" s="589" t="str">
        <f t="shared" si="28"/>
        <v/>
      </c>
      <c r="Q143" s="589" t="str">
        <f t="shared" si="28"/>
        <v/>
      </c>
      <c r="R143" s="588">
        <f t="shared" si="26"/>
        <v>21</v>
      </c>
    </row>
    <row r="144" spans="1:18">
      <c r="A144" s="532"/>
      <c r="B144" s="562">
        <f t="shared" si="29"/>
        <v>20</v>
      </c>
      <c r="C144" s="138"/>
      <c r="D144" s="591"/>
      <c r="E144" s="57" t="s">
        <v>1911</v>
      </c>
      <c r="F144" s="67"/>
      <c r="G144" s="55"/>
      <c r="H144" s="55"/>
      <c r="I144" s="55"/>
      <c r="J144" s="512"/>
      <c r="K144" s="589">
        <f t="shared" si="28"/>
        <v>0</v>
      </c>
      <c r="L144" s="589" t="str">
        <f t="shared" si="28"/>
        <v/>
      </c>
      <c r="M144" s="589" t="str">
        <f t="shared" si="28"/>
        <v/>
      </c>
      <c r="N144" s="589" t="str">
        <f t="shared" si="28"/>
        <v/>
      </c>
      <c r="O144" s="589" t="str">
        <f t="shared" si="28"/>
        <v/>
      </c>
      <c r="P144" s="589" t="str">
        <f t="shared" si="28"/>
        <v/>
      </c>
      <c r="Q144" s="589" t="str">
        <f t="shared" si="28"/>
        <v/>
      </c>
      <c r="R144" s="588">
        <f t="shared" si="26"/>
        <v>22</v>
      </c>
    </row>
    <row r="145" spans="1:22" ht="18" customHeight="1">
      <c r="A145" s="538"/>
      <c r="B145" s="539"/>
      <c r="C145" s="539"/>
      <c r="E145" s="539"/>
      <c r="F145" s="539"/>
      <c r="G145" s="546"/>
      <c r="H145" s="546"/>
      <c r="I145" s="512"/>
      <c r="J145" s="512"/>
      <c r="K145" s="512"/>
      <c r="L145" s="512"/>
      <c r="M145" s="512"/>
      <c r="N145" s="512"/>
      <c r="O145" s="512"/>
      <c r="P145" s="512"/>
      <c r="Q145" s="512"/>
      <c r="R145" s="588">
        <f t="shared" si="26"/>
        <v>23</v>
      </c>
    </row>
    <row r="146" spans="1:22" ht="16.350000000000001" customHeight="1">
      <c r="B146" s="496"/>
      <c r="C146" s="496"/>
      <c r="E146" s="526"/>
      <c r="F146" s="575">
        <f>SUM(F124:F145)</f>
        <v>0</v>
      </c>
      <c r="G146" s="569">
        <f>SUM(G125:G145)</f>
        <v>0</v>
      </c>
      <c r="H146" s="514">
        <f>SUM(H125:H145)</f>
        <v>0</v>
      </c>
      <c r="I146" s="514">
        <f>SUM(I125:I145)</f>
        <v>0</v>
      </c>
      <c r="J146" s="536" t="str">
        <f>IF(F146-SUM(K146:Q146)=0,"ok","E")</f>
        <v>ok</v>
      </c>
      <c r="K146" s="514">
        <f>SUM(K125:K145)</f>
        <v>0</v>
      </c>
      <c r="L146" s="514">
        <f>SUM(L125:L145)</f>
        <v>0</v>
      </c>
      <c r="M146" s="514">
        <f>SUM(M125:M145)</f>
        <v>0</v>
      </c>
      <c r="N146" s="514">
        <f t="shared" ref="N146:Q146" si="30">SUM(N125:N145)</f>
        <v>0</v>
      </c>
      <c r="O146" s="514">
        <f t="shared" si="30"/>
        <v>0</v>
      </c>
      <c r="P146" s="514">
        <f t="shared" si="30"/>
        <v>0</v>
      </c>
      <c r="Q146" s="514">
        <f t="shared" si="30"/>
        <v>0</v>
      </c>
      <c r="R146" s="588">
        <f t="shared" si="26"/>
        <v>24</v>
      </c>
    </row>
    <row r="147" spans="1:22" ht="16.350000000000001" customHeight="1">
      <c r="B147" s="496"/>
      <c r="C147" s="496"/>
      <c r="E147" s="526"/>
      <c r="F147" s="505" t="s">
        <v>1711</v>
      </c>
      <c r="G147" s="135" t="s">
        <v>1845</v>
      </c>
      <c r="H147" s="135" t="s">
        <v>1845</v>
      </c>
      <c r="I147" s="135" t="s">
        <v>1845</v>
      </c>
      <c r="J147" s="536"/>
      <c r="K147" s="134" t="s">
        <v>1878</v>
      </c>
      <c r="L147" s="134" t="s">
        <v>1878</v>
      </c>
      <c r="M147" s="134" t="s">
        <v>1878</v>
      </c>
      <c r="N147" s="134" t="s">
        <v>1878</v>
      </c>
      <c r="O147" s="134" t="s">
        <v>1878</v>
      </c>
      <c r="P147" s="134" t="s">
        <v>1878</v>
      </c>
      <c r="Q147" s="134" t="s">
        <v>1878</v>
      </c>
      <c r="R147" s="577"/>
      <c r="S147" s="577"/>
      <c r="T147" s="577"/>
      <c r="U147" s="577"/>
      <c r="V147" s="577"/>
    </row>
    <row r="148" spans="1:22" ht="16.350000000000001" customHeight="1">
      <c r="B148" s="496"/>
      <c r="C148" s="496"/>
      <c r="E148" s="526"/>
      <c r="F148" s="530"/>
      <c r="G148" s="361">
        <f>pasture</f>
        <v>1655.5</v>
      </c>
      <c r="H148" s="361">
        <f>native</f>
        <v>4196.5</v>
      </c>
      <c r="I148" s="361">
        <f>arid</f>
        <v>0</v>
      </c>
      <c r="J148" s="530"/>
      <c r="K148" s="361">
        <f>VLOOKUP(K123,Process_facs_values_subs,Subrates!$D$1,FALSE)</f>
        <v>53223.951104535605</v>
      </c>
      <c r="L148" s="361">
        <f>VLOOKUP(L123,Process_facs_values_subs,Subrates!$D$1,FALSE)</f>
        <v>114258.78015968978</v>
      </c>
      <c r="M148" s="361">
        <f>VLOOKUP(M123,Process_facs_values_subs,Subrates!$D$1,FALSE)</f>
        <v>216151.72825569558</v>
      </c>
      <c r="N148" s="361">
        <f>VLOOKUP(N123,Process_facs_values_subs,Subrates!$D$1,FALSE)</f>
        <v>318612.72943543183</v>
      </c>
      <c r="O148" s="361">
        <f>VLOOKUP(O123,Process_facs_values_subs,Subrates!$D$1,FALSE)</f>
        <v>480585.61349933827</v>
      </c>
      <c r="P148" s="361">
        <f>VLOOKUP(P123,Process_facs_values_subs,Subrates!$D$1,FALSE)</f>
        <v>567590.73661246418</v>
      </c>
      <c r="Q148" s="361">
        <f>VLOOKUP(Q123,Process_facs_values_subs,Subrates!$D$1,FALSE)</f>
        <v>793434.88220036891</v>
      </c>
      <c r="R148" s="530"/>
    </row>
    <row r="149" spans="1:22" ht="16.350000000000001" customHeight="1">
      <c r="B149" s="496"/>
      <c r="C149" s="496"/>
      <c r="E149" s="526"/>
      <c r="F149" s="530"/>
      <c r="G149" s="566">
        <f>G148*G146</f>
        <v>0</v>
      </c>
      <c r="H149" s="566">
        <f t="shared" ref="H149:K149" si="31">H148*H146</f>
        <v>0</v>
      </c>
      <c r="I149" s="566">
        <f t="shared" si="31"/>
        <v>0</v>
      </c>
      <c r="J149" s="530"/>
      <c r="K149" s="566">
        <f t="shared" si="31"/>
        <v>0</v>
      </c>
      <c r="L149" s="566">
        <f t="shared" ref="L149" si="32">L148*L146</f>
        <v>0</v>
      </c>
      <c r="M149" s="566">
        <f t="shared" ref="M149" si="33">M148*M146</f>
        <v>0</v>
      </c>
      <c r="N149" s="566">
        <f t="shared" ref="N149" si="34">N148*N146</f>
        <v>0</v>
      </c>
      <c r="O149" s="566">
        <f t="shared" ref="O149" si="35">O148*O146</f>
        <v>0</v>
      </c>
      <c r="P149" s="566">
        <f t="shared" ref="P149" si="36">P148*P146</f>
        <v>0</v>
      </c>
      <c r="Q149" s="566">
        <f t="shared" ref="Q149" si="37">Q148*Q146</f>
        <v>0</v>
      </c>
      <c r="R149" s="530"/>
    </row>
    <row r="150" spans="1:22" ht="16.350000000000001" customHeight="1"/>
    <row r="151" spans="1:22" ht="16.350000000000001" customHeight="1">
      <c r="C151" s="571" t="s">
        <v>1918</v>
      </c>
      <c r="D151" s="498"/>
      <c r="G151" s="497"/>
      <c r="H151" s="497"/>
      <c r="I151" s="494"/>
      <c r="J151" s="494"/>
      <c r="K151" s="494"/>
      <c r="L151" s="494"/>
    </row>
    <row r="152" spans="1:22" ht="50.1" customHeight="1">
      <c r="A152" s="532"/>
      <c r="B152" s="509" t="s">
        <v>80</v>
      </c>
      <c r="C152" s="509" t="s">
        <v>439</v>
      </c>
      <c r="D152" s="509" t="s">
        <v>1774</v>
      </c>
      <c r="E152" s="509" t="s">
        <v>121</v>
      </c>
      <c r="F152" s="509" t="s">
        <v>149</v>
      </c>
      <c r="G152" s="509" t="s">
        <v>1919</v>
      </c>
      <c r="H152" s="509" t="s">
        <v>1920</v>
      </c>
      <c r="I152" s="509" t="s">
        <v>1921</v>
      </c>
      <c r="K152" s="587" t="str">
        <f>Lists!C379</f>
        <v>LPG Plant &lt;= 500 kL</v>
      </c>
      <c r="L152" s="587" t="str">
        <f>Lists!C380</f>
        <v>LPG Plant &gt; 500 kL</v>
      </c>
      <c r="M152" s="587">
        <v>1</v>
      </c>
    </row>
    <row r="153" spans="1:22" ht="18" customHeight="1">
      <c r="A153" s="532"/>
      <c r="B153" s="533"/>
      <c r="C153" s="533"/>
      <c r="E153" s="544" t="s">
        <v>1777</v>
      </c>
      <c r="F153" s="533" t="s">
        <v>1763</v>
      </c>
      <c r="G153" s="533" t="s">
        <v>119</v>
      </c>
      <c r="H153" s="533" t="s">
        <v>119</v>
      </c>
      <c r="I153" s="533" t="s">
        <v>119</v>
      </c>
      <c r="M153" s="587">
        <f>M152+1</f>
        <v>2</v>
      </c>
    </row>
    <row r="154" spans="1:22">
      <c r="A154" s="532"/>
      <c r="B154" s="562">
        <v>1</v>
      </c>
      <c r="C154" s="138"/>
      <c r="D154" s="591"/>
      <c r="E154" s="57" t="s">
        <v>1922</v>
      </c>
      <c r="F154" s="89"/>
      <c r="G154" s="55"/>
      <c r="H154" s="55"/>
      <c r="I154" s="55"/>
      <c r="J154" s="512"/>
      <c r="K154" s="589">
        <f>IF($E154=K$152,$F154,"")</f>
        <v>0</v>
      </c>
      <c r="L154" s="589" t="str">
        <f>IF($E154=L$152,$F154,"")</f>
        <v/>
      </c>
      <c r="M154" s="587">
        <f t="shared" ref="M154:M165" si="38">M153+1</f>
        <v>3</v>
      </c>
    </row>
    <row r="155" spans="1:22">
      <c r="A155" s="532"/>
      <c r="B155" s="562">
        <f>B154+1</f>
        <v>2</v>
      </c>
      <c r="C155" s="138"/>
      <c r="D155" s="591"/>
      <c r="E155" s="57" t="s">
        <v>1923</v>
      </c>
      <c r="F155" s="67"/>
      <c r="G155" s="55"/>
      <c r="H155" s="55"/>
      <c r="I155" s="55"/>
      <c r="J155" s="512"/>
      <c r="K155" s="589" t="str">
        <f t="shared" ref="K155:L163" si="39">IF($E155=K$152,$F155,"")</f>
        <v/>
      </c>
      <c r="L155" s="589">
        <f t="shared" si="39"/>
        <v>0</v>
      </c>
      <c r="M155" s="587">
        <f t="shared" si="38"/>
        <v>4</v>
      </c>
    </row>
    <row r="156" spans="1:22">
      <c r="A156" s="532"/>
      <c r="B156" s="562">
        <f t="shared" ref="B156:B163" si="40">B155+1</f>
        <v>3</v>
      </c>
      <c r="C156" s="138"/>
      <c r="D156" s="591"/>
      <c r="E156" s="57" t="s">
        <v>1922</v>
      </c>
      <c r="F156" s="67"/>
      <c r="G156" s="55"/>
      <c r="H156" s="55"/>
      <c r="I156" s="55"/>
      <c r="J156" s="512"/>
      <c r="K156" s="589">
        <f t="shared" si="39"/>
        <v>0</v>
      </c>
      <c r="L156" s="589" t="str">
        <f t="shared" si="39"/>
        <v/>
      </c>
      <c r="M156" s="587">
        <f t="shared" si="38"/>
        <v>5</v>
      </c>
    </row>
    <row r="157" spans="1:22">
      <c r="A157" s="532"/>
      <c r="B157" s="562">
        <f t="shared" si="40"/>
        <v>4</v>
      </c>
      <c r="C157" s="138"/>
      <c r="D157" s="591"/>
      <c r="E157" s="57" t="s">
        <v>1922</v>
      </c>
      <c r="F157" s="67"/>
      <c r="G157" s="55"/>
      <c r="H157" s="55"/>
      <c r="I157" s="55"/>
      <c r="J157" s="512"/>
      <c r="K157" s="589">
        <f t="shared" si="39"/>
        <v>0</v>
      </c>
      <c r="L157" s="589" t="str">
        <f t="shared" si="39"/>
        <v/>
      </c>
      <c r="M157" s="587">
        <f t="shared" si="38"/>
        <v>6</v>
      </c>
    </row>
    <row r="158" spans="1:22">
      <c r="A158" s="532"/>
      <c r="B158" s="562">
        <f t="shared" si="40"/>
        <v>5</v>
      </c>
      <c r="C158" s="138"/>
      <c r="D158" s="591"/>
      <c r="E158" s="57" t="s">
        <v>1922</v>
      </c>
      <c r="F158" s="67"/>
      <c r="G158" s="55"/>
      <c r="H158" s="55"/>
      <c r="I158" s="55"/>
      <c r="J158" s="512"/>
      <c r="K158" s="589">
        <f t="shared" si="39"/>
        <v>0</v>
      </c>
      <c r="L158" s="589" t="str">
        <f t="shared" si="39"/>
        <v/>
      </c>
      <c r="M158" s="587">
        <f t="shared" si="38"/>
        <v>7</v>
      </c>
    </row>
    <row r="159" spans="1:22">
      <c r="A159" s="532"/>
      <c r="B159" s="562">
        <f t="shared" si="40"/>
        <v>6</v>
      </c>
      <c r="C159" s="138"/>
      <c r="D159" s="591"/>
      <c r="E159" s="57" t="s">
        <v>1922</v>
      </c>
      <c r="F159" s="67"/>
      <c r="G159" s="55"/>
      <c r="H159" s="55"/>
      <c r="I159" s="55"/>
      <c r="J159" s="512"/>
      <c r="K159" s="589">
        <f t="shared" si="39"/>
        <v>0</v>
      </c>
      <c r="L159" s="589" t="str">
        <f t="shared" si="39"/>
        <v/>
      </c>
      <c r="M159" s="587">
        <f t="shared" si="38"/>
        <v>8</v>
      </c>
    </row>
    <row r="160" spans="1:22">
      <c r="A160" s="532"/>
      <c r="B160" s="562">
        <f t="shared" si="40"/>
        <v>7</v>
      </c>
      <c r="C160" s="138"/>
      <c r="D160" s="591"/>
      <c r="E160" s="57" t="s">
        <v>1922</v>
      </c>
      <c r="F160" s="67"/>
      <c r="G160" s="55"/>
      <c r="H160" s="55"/>
      <c r="I160" s="55"/>
      <c r="J160" s="512"/>
      <c r="K160" s="589">
        <f t="shared" si="39"/>
        <v>0</v>
      </c>
      <c r="L160" s="589" t="str">
        <f t="shared" si="39"/>
        <v/>
      </c>
      <c r="M160" s="587">
        <f t="shared" si="38"/>
        <v>9</v>
      </c>
    </row>
    <row r="161" spans="1:13">
      <c r="A161" s="532"/>
      <c r="B161" s="562">
        <f t="shared" si="40"/>
        <v>8</v>
      </c>
      <c r="C161" s="138"/>
      <c r="D161" s="591"/>
      <c r="E161" s="57" t="s">
        <v>1922</v>
      </c>
      <c r="F161" s="67"/>
      <c r="G161" s="55"/>
      <c r="H161" s="55"/>
      <c r="I161" s="55"/>
      <c r="J161" s="512"/>
      <c r="K161" s="589">
        <f t="shared" si="39"/>
        <v>0</v>
      </c>
      <c r="L161" s="589" t="str">
        <f t="shared" si="39"/>
        <v/>
      </c>
      <c r="M161" s="587">
        <f t="shared" si="38"/>
        <v>10</v>
      </c>
    </row>
    <row r="162" spans="1:13">
      <c r="A162" s="532"/>
      <c r="B162" s="562">
        <f t="shared" si="40"/>
        <v>9</v>
      </c>
      <c r="C162" s="138"/>
      <c r="D162" s="591"/>
      <c r="E162" s="57" t="s">
        <v>1922</v>
      </c>
      <c r="F162" s="67"/>
      <c r="G162" s="55"/>
      <c r="H162" s="55"/>
      <c r="I162" s="55"/>
      <c r="J162" s="512"/>
      <c r="K162" s="589">
        <f t="shared" si="39"/>
        <v>0</v>
      </c>
      <c r="L162" s="589" t="str">
        <f t="shared" si="39"/>
        <v/>
      </c>
      <c r="M162" s="587">
        <f t="shared" si="38"/>
        <v>11</v>
      </c>
    </row>
    <row r="163" spans="1:13">
      <c r="A163" s="532"/>
      <c r="B163" s="562">
        <f t="shared" si="40"/>
        <v>10</v>
      </c>
      <c r="C163" s="138"/>
      <c r="D163" s="591"/>
      <c r="E163" s="57" t="s">
        <v>1922</v>
      </c>
      <c r="F163" s="67"/>
      <c r="G163" s="55"/>
      <c r="H163" s="55"/>
      <c r="I163" s="55"/>
      <c r="J163" s="512"/>
      <c r="K163" s="589">
        <f t="shared" si="39"/>
        <v>0</v>
      </c>
      <c r="L163" s="589" t="str">
        <f t="shared" si="39"/>
        <v/>
      </c>
      <c r="M163" s="587">
        <f t="shared" si="38"/>
        <v>12</v>
      </c>
    </row>
    <row r="164" spans="1:13" ht="18" customHeight="1">
      <c r="A164" s="538"/>
      <c r="B164" s="539"/>
      <c r="C164" s="539"/>
      <c r="E164" s="539"/>
      <c r="F164" s="539"/>
      <c r="G164" s="546"/>
      <c r="H164" s="546"/>
      <c r="I164" s="512"/>
      <c r="J164" s="512"/>
      <c r="K164" s="512"/>
      <c r="L164" s="512"/>
      <c r="M164" s="587">
        <f t="shared" si="38"/>
        <v>13</v>
      </c>
    </row>
    <row r="165" spans="1:13" ht="16.350000000000001" customHeight="1">
      <c r="B165" s="496"/>
      <c r="C165" s="496"/>
      <c r="E165" s="526"/>
      <c r="F165" s="575">
        <f>SUM(F153:F164)</f>
        <v>0</v>
      </c>
      <c r="G165" s="569">
        <f>SUM(G154:G164)</f>
        <v>0</v>
      </c>
      <c r="H165" s="514">
        <f>SUM(H154:H164)</f>
        <v>0</v>
      </c>
      <c r="I165" s="514">
        <f>SUM(I154:I164)</f>
        <v>0</v>
      </c>
      <c r="J165" s="536" t="str">
        <f>IF(F165-SUM(K165:L165)=0,"ok","E")</f>
        <v>ok</v>
      </c>
      <c r="K165" s="514">
        <f>SUM(K154:K164)</f>
        <v>0</v>
      </c>
      <c r="L165" s="514">
        <f>SUM(L154:L164)</f>
        <v>0</v>
      </c>
      <c r="M165" s="587">
        <f t="shared" si="38"/>
        <v>14</v>
      </c>
    </row>
    <row r="166" spans="1:13" ht="16.350000000000001" customHeight="1">
      <c r="B166" s="496"/>
      <c r="C166" s="496"/>
      <c r="E166" s="526"/>
      <c r="F166" s="505" t="s">
        <v>1711</v>
      </c>
      <c r="G166" s="135" t="s">
        <v>1845</v>
      </c>
      <c r="H166" s="135" t="s">
        <v>1845</v>
      </c>
      <c r="I166" s="135" t="s">
        <v>1845</v>
      </c>
      <c r="J166" s="536"/>
      <c r="K166" s="134" t="s">
        <v>1878</v>
      </c>
      <c r="L166" s="134" t="s">
        <v>1878</v>
      </c>
    </row>
    <row r="167" spans="1:13" ht="16.350000000000001" customHeight="1">
      <c r="G167" s="361">
        <f>pasture</f>
        <v>1655.5</v>
      </c>
      <c r="H167" s="361">
        <f>native</f>
        <v>4196.5</v>
      </c>
      <c r="I167" s="361">
        <f>arid</f>
        <v>0</v>
      </c>
      <c r="K167" s="361">
        <f>VLOOKUP(K152,Process_facs_values_subs,Subrates!$D$1,FALSE)</f>
        <v>699442.25793588127</v>
      </c>
      <c r="L167" s="361">
        <f>VLOOKUP(L152,Process_facs_values_subs,Subrates!$D$1,FALSE)</f>
        <v>1193456.3930382445</v>
      </c>
    </row>
    <row r="168" spans="1:13" ht="16.350000000000001" customHeight="1">
      <c r="G168" s="590">
        <f>G165*G167</f>
        <v>0</v>
      </c>
      <c r="H168" s="590">
        <f t="shared" ref="H168:L168" si="41">H165*H167</f>
        <v>0</v>
      </c>
      <c r="I168" s="590">
        <f t="shared" si="41"/>
        <v>0</v>
      </c>
      <c r="K168" s="590">
        <f t="shared" si="41"/>
        <v>0</v>
      </c>
      <c r="L168" s="590">
        <f t="shared" si="41"/>
        <v>0</v>
      </c>
    </row>
    <row r="169" spans="1:13" ht="16.350000000000001" customHeight="1"/>
    <row r="170" spans="1:13" ht="16.350000000000001" customHeight="1"/>
    <row r="173" spans="1:13">
      <c r="I173" s="494"/>
    </row>
  </sheetData>
  <sheetProtection algorithmName="SHA-512" hashValue="pI4aeYzWwlo9WDXbFVgcc5Nm5tmjJC/MhJCm6qbKG4/DVb2xiA8xsQN3c7MgHF7qC4M0F41r+0y85Ns15yyGhA==" saltValue="LvTFUaNw7W96Dx7Clx7bHg==" spinCount="100000" sheet="1" objects="1" scenarios="1" autoFilter="0"/>
  <dataConsolidate/>
  <dataValidations count="7">
    <dataValidation type="list" allowBlank="1" showInputMessage="1" showErrorMessage="1" sqref="E8:E27" xr:uid="{026CDB1C-8D15-4192-9191-6B1C00E9ABE5}">
      <formula1>GPF_Lists</formula1>
    </dataValidation>
    <dataValidation type="list" allowBlank="1" showInputMessage="1" showErrorMessage="1" sqref="E66:E85" xr:uid="{6B5A2F20-49A4-4BAE-9EA5-4A3621AA5686}">
      <formula1>WTP_list</formula1>
    </dataValidation>
    <dataValidation type="list" allowBlank="1" showInputMessage="1" showErrorMessage="1" sqref="E38:E56" xr:uid="{77FDE90F-7F90-4222-BED0-C7126C28016E}">
      <formula1>Con_gas_plants_list</formula1>
    </dataValidation>
    <dataValidation type="list" allowBlank="1" showInputMessage="1" showErrorMessage="1" sqref="E125:E144" xr:uid="{101A84E1-1396-4E95-972B-70376A6777C0}">
      <formula1>con_oil_storage_list</formula1>
    </dataValidation>
    <dataValidation type="list" allowBlank="1" showInputMessage="1" showErrorMessage="1" sqref="E154:E163" xr:uid="{EB742ECE-E081-4454-A452-3533332D424D}">
      <formula1>LPG_plant_list</formula1>
    </dataValidation>
    <dataValidation type="whole" allowBlank="1" showInputMessage="1" showErrorMessage="1" sqref="F37:F56" xr:uid="{0791476E-5573-4379-818D-479980DF0456}">
      <formula1>0</formula1>
      <formula2>100</formula2>
    </dataValidation>
    <dataValidation type="whole" allowBlank="1" showInputMessage="1" showErrorMessage="1" sqref="F96:F115 F125:F144" xr:uid="{F843CE81-47FE-44C6-8798-9E550C5F86AB}">
      <formula1>0</formula1>
      <formula2>1000</formula2>
    </dataValidation>
  </dataValidations>
  <hyperlinks>
    <hyperlink ref="B3" location="CONTENTS" display="Contents" xr:uid="{DC5CBEEA-8DDC-4315-A1A9-2B28BD82030E}"/>
    <hyperlink ref="G30" location="Land_Subs_Nme" display="Land Subrates" xr:uid="{F03A6C0F-B637-4F7E-9D75-1456C4838A48}"/>
    <hyperlink ref="H30:I30" location="Land_Subs_Nme" display="Land Subrates" xr:uid="{B928C3B3-2FCF-4EB1-800E-176E43CB489E}"/>
    <hyperlink ref="G59" location="Land_Subs_Nme" display="Land Subrates" xr:uid="{EA2D96D6-4CED-4EA0-8477-936B02EC9030}"/>
    <hyperlink ref="H59:I59" location="Land_Subs_Nme" display="Land Subrates" xr:uid="{E883A80D-5E56-4396-9533-DA69C552783D}"/>
    <hyperlink ref="G88" location="Land_Subs_Nme" display="Land Subrates" xr:uid="{5C5689D0-CAF1-404E-9A4E-FCE1CCA212E5}"/>
    <hyperlink ref="H88:I88" location="Land_Subs_Nme" display="Land Subrates" xr:uid="{ADA96E96-088F-4E80-BB77-878D4D03BFBB}"/>
    <hyperlink ref="G118" location="Land_Subs_Nme" display="Land Subrates" xr:uid="{8C44D6BF-C80F-48FF-9F08-7FAB27F2CA25}"/>
    <hyperlink ref="H118:I118" location="Land_Subs_Nme" display="Land Subrates" xr:uid="{AA847CB5-E3F3-4D83-83D4-18A5D81C9AFC}"/>
    <hyperlink ref="G147" location="Land_Subs_Nme" display="Land Subrates" xr:uid="{F05838AD-0F7E-4428-ADF1-D81436CEBAB7}"/>
    <hyperlink ref="H147:I147" location="Land_Subs_Nme" display="Land Subrates" xr:uid="{D0CAF182-3F6B-4FA7-BA98-C7384FB5C20E}"/>
    <hyperlink ref="G166" location="Land_Subs_Nme" display="Land Subrates" xr:uid="{BF37D1EE-6983-4F88-AED6-D37BD0841193}"/>
    <hyperlink ref="H166:I166" location="Land_Subs_Nme" display="Land Subrates" xr:uid="{71BC1C2D-087B-43F6-AF8F-F6D83C7D5DA0}"/>
    <hyperlink ref="K30" location="Process_Facilities_Nme" display="Process_Facilities" xr:uid="{D95F43BE-2221-4D32-97F1-05D858E6872D}"/>
    <hyperlink ref="L30:U30" location="Process_Facilities_Nme" display="Process_Facilities" xr:uid="{1FBFB48C-814C-4137-B8BA-74A32152694F}"/>
    <hyperlink ref="K59" location="Process_Facilities_Nme" display="Process_Facilities" xr:uid="{836852AA-9E40-47EE-90F0-B6EB04036BA7}"/>
    <hyperlink ref="L59" location="Process_Facilities_Nme" display="Process_Facilities" xr:uid="{377A44A4-5870-4371-9224-381D70749128}"/>
    <hyperlink ref="M59" location="Process_Facilities_Nme" display="Process_Facilities" xr:uid="{6E44691C-3F2B-45FA-B1E7-8364C6C172BD}"/>
    <hyperlink ref="N59" location="Process_Facilities_Nme" display="Process_Facilities" xr:uid="{DF949C98-1DB1-461F-96A6-5D840F8A38F7}"/>
    <hyperlink ref="O59" location="Process_Facilities_Nme" display="Process_Facilities" xr:uid="{2A67AC91-75B0-4148-A2B9-80B7869D3351}"/>
    <hyperlink ref="P59" location="Process_Facilities_Nme" display="Process_Facilities" xr:uid="{1A1593D2-C7EC-44EB-AF85-3D6830A5190A}"/>
    <hyperlink ref="R59" location="Process_Facilities_Nme" display="Process_Facilities" xr:uid="{90D1B6AF-9971-4FBF-9D8B-CAFBA546D34F}"/>
    <hyperlink ref="Q59" location="Process_Facilities_Nme" display="Process_Facilities" xr:uid="{546DBB77-8A27-49CA-9621-5F867F155B2C}"/>
    <hyperlink ref="K88" location="Process_Facilities_Nme" display="Process_Facilities" xr:uid="{285A5486-2E79-4B26-9476-D86DA7922A09}"/>
    <hyperlink ref="L88" location="Process_Facilities_Nme" display="Process_Facilities" xr:uid="{794BCBB4-E208-42E1-9425-62B3D803514D}"/>
    <hyperlink ref="M88" location="Process_Facilities_Nme" display="Process_Facilities" xr:uid="{5246BCC2-F379-44DB-AD96-8F67817E3970}"/>
    <hyperlink ref="N88" location="Process_Facilities_Nme" display="Process_Facilities" xr:uid="{77A73AFA-F0ED-492C-8F72-7EEBA312067E}"/>
    <hyperlink ref="O88" location="Process_Facilities_Nme" display="Process_Facilities" xr:uid="{8519C5D7-62F3-4D0C-BFB4-35562C1277AD}"/>
    <hyperlink ref="P88" location="Process_Facilities_Nme" display="Process_Facilities" xr:uid="{14FB032D-2CB8-4014-B940-A537A5A522D7}"/>
    <hyperlink ref="Q88" location="Process_Facilities_Nme" display="Process_Facilities" xr:uid="{D697E388-7C5F-4B5F-9E88-1953123748D8}"/>
    <hyperlink ref="R88" location="Process_Facilities_Nme" display="Process_Facilities" xr:uid="{A272841F-65B3-487B-81DB-8CDEBA955BAF}"/>
    <hyperlink ref="K118" location="Process_Facilities_Nme" display="Process_Facilities" xr:uid="{9B6E9667-F8DB-4E2A-B9C1-E4DFACC587C8}"/>
    <hyperlink ref="L118:M118" location="Process_Facilities_Nme" display="Process_Facilities" xr:uid="{AD577B40-AD94-4123-879B-8C2EC0A6A60D}"/>
    <hyperlink ref="K147" location="Process_Facilities_Nme" display="Process_Facilities" xr:uid="{686D1CC8-5A4F-4CB2-81C2-4EFAB42BDE02}"/>
    <hyperlink ref="L147" location="Process_Facilities_Nme" display="Process_Facilities" xr:uid="{1BB4BB6D-A7B1-4F8E-95D0-0371871E1E89}"/>
    <hyperlink ref="M147" location="Process_Facilities_Nme" display="Process_Facilities" xr:uid="{1859B51D-6D75-4177-A92E-2CADB33A6ED6}"/>
    <hyperlink ref="N147" location="Process_Facilities_Nme" display="Process_Facilities" xr:uid="{41D57B2C-EAE8-459F-B34E-394572EB40CA}"/>
    <hyperlink ref="O147" location="Process_Facilities_Nme" display="Process_Facilities" xr:uid="{4BDF2F9F-849F-4366-B049-2AB55829F164}"/>
    <hyperlink ref="P147" location="Process_Facilities_Nme" display="Process_Facilities" xr:uid="{314619A1-973E-4113-8953-26EF359C39A2}"/>
    <hyperlink ref="Q147" location="Process_Facilities_Nme" display="Process_Facilities" xr:uid="{678AA73F-4C67-49CC-80A1-7E1B26A8B796}"/>
    <hyperlink ref="K166" location="Process_Facilities_Nme" display="Process_Facilities" xr:uid="{F5EF34D2-E95F-4A44-9304-6FBB7327C3C9}"/>
    <hyperlink ref="L166" location="Process_Facilities_Nme" display="Process_Facilities" xr:uid="{5C22D36B-95D9-4850-A886-7A541B9771C6}"/>
  </hyperlink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ACE16F1E-91CA-4D48-9127-C9A64C527B5F}">
          <x14:formula1>
            <xm:f>Lists!$C$392:$C$394</xm:f>
          </x14:formula1>
          <xm:sqref>E96:E115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0B029-491C-4034-98C5-71420471A7C9}">
  <sheetPr codeName="Sheet14">
    <tabColor theme="9" tint="-0.499984740745262"/>
  </sheetPr>
  <dimension ref="A2:BL93"/>
  <sheetViews>
    <sheetView showGridLines="0" zoomScaleNormal="100" workbookViewId="0">
      <pane xSplit="4" ySplit="6" topLeftCell="E7" activePane="bottomRight" state="frozen"/>
      <selection pane="topRight" activeCell="F1" sqref="F1"/>
      <selection pane="bottomLeft" activeCell="A7" sqref="A7"/>
      <selection pane="bottomRight"/>
    </sheetView>
  </sheetViews>
  <sheetFormatPr defaultColWidth="9.28515625" defaultRowHeight="12"/>
  <cols>
    <col min="1" max="1" width="6.42578125" style="494" customWidth="1"/>
    <col min="2" max="2" width="57.42578125" style="494" customWidth="1"/>
    <col min="3" max="24" width="18.5703125" style="497" customWidth="1"/>
    <col min="25" max="26" width="12.42578125" style="497" customWidth="1"/>
    <col min="27" max="33" width="12.42578125" style="494" customWidth="1"/>
    <col min="34" max="34" width="2.7109375" style="494" customWidth="1"/>
    <col min="35" max="16384" width="9.28515625" style="494"/>
  </cols>
  <sheetData>
    <row r="2" spans="1:64" ht="21" customHeight="1">
      <c r="B2" s="593" t="str">
        <f>CONTENTS!B2</f>
        <v>Petroleum and Gas Estimated Rehabilitation Cost Calculator</v>
      </c>
      <c r="D2" s="526" t="s">
        <v>1924</v>
      </c>
      <c r="E2" s="606" t="s">
        <v>236</v>
      </c>
      <c r="F2" s="606" t="s">
        <v>240</v>
      </c>
      <c r="G2" s="606" t="s">
        <v>231</v>
      </c>
      <c r="H2" s="606" t="s">
        <v>239</v>
      </c>
      <c r="I2" s="606" t="s">
        <v>236</v>
      </c>
      <c r="J2" s="606" t="s">
        <v>236</v>
      </c>
      <c r="K2" s="606" t="s">
        <v>236</v>
      </c>
      <c r="L2" s="606" t="s">
        <v>236</v>
      </c>
      <c r="M2" s="606" t="s">
        <v>236</v>
      </c>
      <c r="N2" s="606" t="s">
        <v>236</v>
      </c>
      <c r="O2" s="606" t="s">
        <v>236</v>
      </c>
      <c r="P2" s="606" t="s">
        <v>236</v>
      </c>
      <c r="Q2" s="606" t="s">
        <v>236</v>
      </c>
      <c r="R2" s="606" t="s">
        <v>236</v>
      </c>
      <c r="S2" s="606" t="s">
        <v>236</v>
      </c>
      <c r="T2" s="606" t="s">
        <v>236</v>
      </c>
      <c r="U2" s="606" t="s">
        <v>236</v>
      </c>
      <c r="V2" s="606" t="s">
        <v>236</v>
      </c>
      <c r="W2" s="606" t="s">
        <v>236</v>
      </c>
      <c r="X2" s="606" t="s">
        <v>236</v>
      </c>
      <c r="Y2" s="494"/>
      <c r="Z2" s="559" t="str">
        <f>Gas_Processing_Plant</f>
        <v>Gas Processing Plant</v>
      </c>
      <c r="AA2" s="559" t="str">
        <f>Lists!C34</f>
        <v>LPG Plant</v>
      </c>
      <c r="AB2" s="559" t="str">
        <f>Lists!C36</f>
        <v>Conventional Gas</v>
      </c>
      <c r="AC2" s="559" t="str">
        <f>Lists!C37</f>
        <v>Conventional Oil</v>
      </c>
    </row>
    <row r="3" spans="1:64" ht="12.75">
      <c r="B3" s="594" t="s">
        <v>323</v>
      </c>
      <c r="C3" s="20" t="s">
        <v>305</v>
      </c>
      <c r="D3" s="511" t="s">
        <v>439</v>
      </c>
      <c r="E3" s="88"/>
      <c r="F3" s="88"/>
      <c r="G3" s="88"/>
      <c r="H3" s="88"/>
      <c r="I3" s="88"/>
      <c r="J3" s="88"/>
      <c r="K3" s="88"/>
      <c r="L3" s="88"/>
      <c r="M3" s="88"/>
      <c r="N3" s="88"/>
      <c r="O3" s="88"/>
      <c r="P3" s="88"/>
      <c r="Q3" s="88"/>
      <c r="R3" s="88"/>
      <c r="S3" s="88"/>
      <c r="T3" s="88"/>
      <c r="U3" s="88"/>
      <c r="V3" s="88"/>
      <c r="W3" s="88"/>
      <c r="X3" s="88"/>
      <c r="Y3" s="515"/>
      <c r="Z3" s="494"/>
      <c r="AC3" s="497"/>
    </row>
    <row r="4" spans="1:64" customFormat="1" ht="22.5">
      <c r="A4" s="595"/>
      <c r="B4" s="572">
        <f>ERC</f>
        <v>0</v>
      </c>
      <c r="C4" s="525" t="s">
        <v>1726</v>
      </c>
      <c r="D4" s="526" t="s">
        <v>1774</v>
      </c>
      <c r="E4" s="88"/>
      <c r="F4" s="88"/>
      <c r="G4" s="88"/>
      <c r="H4" s="88"/>
      <c r="I4" s="88"/>
      <c r="J4" s="88"/>
      <c r="K4" s="88"/>
      <c r="L4" s="88"/>
      <c r="M4" s="88"/>
      <c r="N4" s="88"/>
      <c r="O4" s="88"/>
      <c r="P4" s="88"/>
      <c r="Q4" s="88"/>
      <c r="R4" s="88"/>
      <c r="S4" s="88"/>
      <c r="T4" s="88"/>
      <c r="U4" s="88"/>
      <c r="V4" s="88"/>
      <c r="W4" s="88"/>
      <c r="X4" s="88"/>
      <c r="BK4" s="596"/>
      <c r="BL4" s="494"/>
    </row>
    <row r="5" spans="1:64" customFormat="1" ht="22.5">
      <c r="A5" s="595"/>
      <c r="B5" s="572">
        <f>SUM(S6:X6)</f>
        <v>0</v>
      </c>
      <c r="C5" s="525" t="s">
        <v>1925</v>
      </c>
      <c r="D5" s="526" t="s">
        <v>21</v>
      </c>
      <c r="E5" s="88"/>
      <c r="F5" s="88"/>
      <c r="G5" s="88"/>
      <c r="H5" s="88"/>
      <c r="I5" s="88"/>
      <c r="J5" s="88"/>
      <c r="K5" s="88"/>
      <c r="L5" s="88"/>
      <c r="M5" s="88"/>
      <c r="N5" s="88"/>
      <c r="O5" s="88"/>
      <c r="P5" s="88"/>
      <c r="Q5" s="88"/>
      <c r="R5" s="88"/>
      <c r="S5" s="88"/>
      <c r="T5" s="88"/>
      <c r="U5" s="88"/>
      <c r="V5" s="88"/>
      <c r="W5" s="88"/>
      <c r="X5" s="88"/>
      <c r="BK5" s="494"/>
      <c r="BL5" s="494"/>
    </row>
    <row r="6" spans="1:64" ht="16.350000000000001" customHeight="1">
      <c r="B6" s="597" t="s">
        <v>1926</v>
      </c>
      <c r="C6" s="598" t="s">
        <v>1</v>
      </c>
      <c r="D6" s="598" t="s">
        <v>247</v>
      </c>
      <c r="E6" s="54">
        <f t="shared" ref="E6:X6" si="0">E90</f>
        <v>0</v>
      </c>
      <c r="F6" s="54">
        <f t="shared" si="0"/>
        <v>0</v>
      </c>
      <c r="G6" s="54">
        <f t="shared" si="0"/>
        <v>0</v>
      </c>
      <c r="H6" s="54">
        <f t="shared" si="0"/>
        <v>0</v>
      </c>
      <c r="I6" s="54">
        <f t="shared" si="0"/>
        <v>0</v>
      </c>
      <c r="J6" s="54">
        <f t="shared" si="0"/>
        <v>0</v>
      </c>
      <c r="K6" s="54">
        <f t="shared" si="0"/>
        <v>0</v>
      </c>
      <c r="L6" s="54">
        <f t="shared" si="0"/>
        <v>0</v>
      </c>
      <c r="M6" s="54">
        <f t="shared" si="0"/>
        <v>0</v>
      </c>
      <c r="N6" s="54">
        <f t="shared" si="0"/>
        <v>0</v>
      </c>
      <c r="O6" s="54">
        <f t="shared" si="0"/>
        <v>0</v>
      </c>
      <c r="P6" s="54">
        <f t="shared" si="0"/>
        <v>0</v>
      </c>
      <c r="Q6" s="54">
        <f t="shared" si="0"/>
        <v>0</v>
      </c>
      <c r="R6" s="54">
        <f t="shared" si="0"/>
        <v>0</v>
      </c>
      <c r="S6" s="127">
        <f t="shared" si="0"/>
        <v>0</v>
      </c>
      <c r="T6" s="127">
        <f t="shared" si="0"/>
        <v>0</v>
      </c>
      <c r="U6" s="127">
        <f t="shared" si="0"/>
        <v>0</v>
      </c>
      <c r="V6" s="127">
        <f t="shared" si="0"/>
        <v>0</v>
      </c>
      <c r="W6" s="127">
        <f t="shared" si="0"/>
        <v>0</v>
      </c>
      <c r="X6" s="127">
        <f t="shared" si="0"/>
        <v>0</v>
      </c>
      <c r="Y6" s="496" t="s">
        <v>1927</v>
      </c>
      <c r="Z6" s="54">
        <f>SUMIF($E$2:$X$2,"="&amp;Z2,$E$6:$X$6)</f>
        <v>0</v>
      </c>
      <c r="AA6" s="54">
        <f t="shared" ref="AA6:AC6" si="1">SUMIF($E$2:$X$2,"="&amp;AA2,$E$6:$X$6)</f>
        <v>0</v>
      </c>
      <c r="AB6" s="54">
        <f t="shared" si="1"/>
        <v>0</v>
      </c>
      <c r="AC6" s="54">
        <f t="shared" si="1"/>
        <v>0</v>
      </c>
    </row>
    <row r="7" spans="1:64" s="496" customFormat="1" ht="16.350000000000001" customHeight="1">
      <c r="A7" s="526">
        <v>1</v>
      </c>
      <c r="B7" s="599" t="str">
        <f>Subrates!C101</f>
        <v>Vertical, Steel, Open top, Earth, Single skin, Lined, 0.14 ML</v>
      </c>
      <c r="C7" s="562" t="s">
        <v>261</v>
      </c>
      <c r="D7" s="90">
        <f>VLOOKUP(B7,tank_list_values,Subrates!$D$1,FALSE)</f>
        <v>3030.50607923186</v>
      </c>
      <c r="E7" s="52"/>
      <c r="F7" s="52"/>
      <c r="G7" s="52"/>
      <c r="H7" s="52"/>
      <c r="I7" s="52"/>
      <c r="J7" s="52"/>
      <c r="K7" s="52"/>
      <c r="L7" s="52"/>
      <c r="M7" s="52"/>
      <c r="N7" s="52"/>
      <c r="O7" s="52"/>
      <c r="P7" s="52"/>
      <c r="Q7" s="52"/>
      <c r="R7" s="52"/>
      <c r="S7" s="52"/>
      <c r="T7" s="52"/>
      <c r="U7" s="52"/>
      <c r="V7" s="52"/>
      <c r="W7" s="52"/>
      <c r="X7" s="52"/>
      <c r="Y7" s="493">
        <f>SUM(E7:X7)</f>
        <v>0</v>
      </c>
    </row>
    <row r="8" spans="1:64" s="496" customFormat="1" ht="16.350000000000001" customHeight="1">
      <c r="A8" s="526">
        <f t="shared" ref="A8:A73" si="2">A7+1</f>
        <v>2</v>
      </c>
      <c r="B8" s="599" t="str">
        <f>Subrates!C102</f>
        <v>Vertical, Steel, Open top, Earth, Single skin, Lined, 0.6 ML</v>
      </c>
      <c r="C8" s="562" t="s">
        <v>261</v>
      </c>
      <c r="D8" s="90">
        <f>VLOOKUP(B8,tank_list_values,Subrates!$D$1,FALSE)</f>
        <v>5865.5572538609558</v>
      </c>
      <c r="E8" s="52"/>
      <c r="F8" s="52"/>
      <c r="G8" s="52"/>
      <c r="H8" s="52"/>
      <c r="I8" s="52"/>
      <c r="J8" s="52"/>
      <c r="K8" s="52"/>
      <c r="L8" s="52"/>
      <c r="M8" s="52"/>
      <c r="N8" s="52"/>
      <c r="O8" s="52"/>
      <c r="P8" s="52"/>
      <c r="Q8" s="52"/>
      <c r="R8" s="52"/>
      <c r="S8" s="52"/>
      <c r="T8" s="52"/>
      <c r="U8" s="52"/>
      <c r="V8" s="52"/>
      <c r="W8" s="52"/>
      <c r="X8" s="52"/>
      <c r="Y8" s="493">
        <f t="shared" ref="Y8:Y78" si="3">SUM(E8:X8)</f>
        <v>0</v>
      </c>
    </row>
    <row r="9" spans="1:64" s="496" customFormat="1" ht="16.350000000000001" customHeight="1">
      <c r="A9" s="526">
        <f t="shared" si="2"/>
        <v>3</v>
      </c>
      <c r="B9" s="599" t="str">
        <f>Subrates!C103</f>
        <v>Vertical, Steel, Open top, Earth, Single skin, Lined, 1 ML</v>
      </c>
      <c r="C9" s="562" t="s">
        <v>261</v>
      </c>
      <c r="D9" s="90">
        <f>VLOOKUP(B9,tank_list_values,Subrates!$D$1,FALSE)</f>
        <v>6481.102649142761</v>
      </c>
      <c r="E9" s="52"/>
      <c r="F9" s="52"/>
      <c r="G9" s="52"/>
      <c r="H9" s="52"/>
      <c r="I9" s="52"/>
      <c r="J9" s="52"/>
      <c r="K9" s="52"/>
      <c r="L9" s="52"/>
      <c r="M9" s="52"/>
      <c r="N9" s="52"/>
      <c r="O9" s="52"/>
      <c r="P9" s="52"/>
      <c r="Q9" s="52"/>
      <c r="R9" s="52"/>
      <c r="S9" s="52"/>
      <c r="T9" s="52"/>
      <c r="U9" s="52"/>
      <c r="V9" s="52"/>
      <c r="W9" s="52"/>
      <c r="X9" s="52"/>
      <c r="Y9" s="493">
        <f t="shared" si="3"/>
        <v>0</v>
      </c>
    </row>
    <row r="10" spans="1:64" s="496" customFormat="1" ht="16.350000000000001" customHeight="1">
      <c r="A10" s="526">
        <f t="shared" si="2"/>
        <v>4</v>
      </c>
      <c r="B10" s="599" t="str">
        <f>Subrates!C104</f>
        <v>Vertical, Steel, Open top, Earth, Single skin, Lined, 3.5 ML</v>
      </c>
      <c r="C10" s="562" t="s">
        <v>261</v>
      </c>
      <c r="D10" s="90">
        <f>VLOOKUP(B10,tank_list_values,Subrates!$D$1,FALSE)</f>
        <v>13976.081573846101</v>
      </c>
      <c r="E10" s="52"/>
      <c r="F10" s="52"/>
      <c r="G10" s="52"/>
      <c r="H10" s="52"/>
      <c r="I10" s="52"/>
      <c r="J10" s="52"/>
      <c r="K10" s="52"/>
      <c r="L10" s="52"/>
      <c r="M10" s="52"/>
      <c r="N10" s="52"/>
      <c r="O10" s="52"/>
      <c r="P10" s="52"/>
      <c r="Q10" s="52"/>
      <c r="R10" s="52"/>
      <c r="S10" s="52"/>
      <c r="T10" s="52"/>
      <c r="U10" s="52"/>
      <c r="V10" s="52"/>
      <c r="W10" s="52"/>
      <c r="X10" s="52"/>
      <c r="Y10" s="493">
        <f t="shared" si="3"/>
        <v>0</v>
      </c>
    </row>
    <row r="11" spans="1:64" s="496" customFormat="1" ht="16.350000000000001" customHeight="1">
      <c r="A11" s="526">
        <f t="shared" si="2"/>
        <v>5</v>
      </c>
      <c r="B11" s="599" t="str">
        <f>Subrates!C105</f>
        <v>Vertical, Steel, Open top, Earth, Single skin, Lined, 7 ML</v>
      </c>
      <c r="C11" s="562" t="s">
        <v>261</v>
      </c>
      <c r="D11" s="90">
        <f>VLOOKUP(B11,tank_list_values,Subrates!$D$1,FALSE)</f>
        <v>21608.791505702786</v>
      </c>
      <c r="E11" s="52"/>
      <c r="F11" s="52"/>
      <c r="G11" s="52"/>
      <c r="H11" s="52"/>
      <c r="I11" s="52"/>
      <c r="J11" s="52"/>
      <c r="K11" s="52"/>
      <c r="L11" s="52"/>
      <c r="M11" s="52"/>
      <c r="N11" s="52"/>
      <c r="O11" s="52"/>
      <c r="P11" s="52"/>
      <c r="Q11" s="52"/>
      <c r="R11" s="52"/>
      <c r="S11" s="52"/>
      <c r="T11" s="52"/>
      <c r="U11" s="52"/>
      <c r="V11" s="52"/>
      <c r="W11" s="52"/>
      <c r="X11" s="52"/>
      <c r="Y11" s="493">
        <f t="shared" si="3"/>
        <v>0</v>
      </c>
    </row>
    <row r="12" spans="1:64" s="496" customFormat="1" ht="16.350000000000001" customHeight="1">
      <c r="A12" s="526">
        <f t="shared" si="2"/>
        <v>6</v>
      </c>
      <c r="B12" s="599" t="str">
        <f>Subrates!C106</f>
        <v>Vertical, Steel, Open top, Earth, Single skin, Lined, 8 ML</v>
      </c>
      <c r="C12" s="562" t="s">
        <v>261</v>
      </c>
      <c r="D12" s="90">
        <f>VLOOKUP(B12,tank_list_values,Subrates!$D$1,FALSE)</f>
        <v>24739.086855535435</v>
      </c>
      <c r="E12" s="52"/>
      <c r="F12" s="52"/>
      <c r="G12" s="52"/>
      <c r="H12" s="52"/>
      <c r="I12" s="52"/>
      <c r="J12" s="52"/>
      <c r="K12" s="52"/>
      <c r="L12" s="52"/>
      <c r="M12" s="52"/>
      <c r="N12" s="52"/>
      <c r="O12" s="52"/>
      <c r="P12" s="52"/>
      <c r="Q12" s="52"/>
      <c r="R12" s="52"/>
      <c r="S12" s="52"/>
      <c r="T12" s="52"/>
      <c r="U12" s="52"/>
      <c r="V12" s="52"/>
      <c r="W12" s="52"/>
      <c r="X12" s="52"/>
      <c r="Y12" s="493">
        <f t="shared" si="3"/>
        <v>0</v>
      </c>
    </row>
    <row r="13" spans="1:64" s="496" customFormat="1" ht="16.350000000000001" customHeight="1">
      <c r="A13" s="526">
        <f t="shared" si="2"/>
        <v>7</v>
      </c>
      <c r="B13" s="599" t="str">
        <f>Subrates!C107</f>
        <v>Vertical, Steel, Open top, Earth, Single skin, Lined, 12 ML</v>
      </c>
      <c r="C13" s="562" t="s">
        <v>261</v>
      </c>
      <c r="D13" s="90">
        <f>VLOOKUP(B13,tank_list_values,Subrates!$D$1,FALSE)</f>
        <v>28659.094537878042</v>
      </c>
      <c r="E13" s="52"/>
      <c r="F13" s="52"/>
      <c r="G13" s="52"/>
      <c r="H13" s="52"/>
      <c r="I13" s="52"/>
      <c r="J13" s="52"/>
      <c r="K13" s="52"/>
      <c r="L13" s="52"/>
      <c r="M13" s="52"/>
      <c r="N13" s="52"/>
      <c r="O13" s="52"/>
      <c r="P13" s="52"/>
      <c r="Q13" s="52"/>
      <c r="R13" s="52"/>
      <c r="S13" s="52"/>
      <c r="T13" s="52"/>
      <c r="U13" s="52"/>
      <c r="V13" s="52"/>
      <c r="W13" s="52"/>
      <c r="X13" s="52"/>
      <c r="Y13" s="493">
        <f t="shared" si="3"/>
        <v>0</v>
      </c>
    </row>
    <row r="14" spans="1:64" s="496" customFormat="1" ht="16.350000000000001" customHeight="1">
      <c r="A14" s="526">
        <f t="shared" si="2"/>
        <v>8</v>
      </c>
      <c r="B14" s="599" t="str">
        <f>Subrates!C108</f>
        <v>Vertical, Steel, Open top, Earth, Single skin, Lined, 17 ML</v>
      </c>
      <c r="C14" s="562" t="s">
        <v>261</v>
      </c>
      <c r="D14" s="90">
        <f>VLOOKUP(B14,tank_list_values,Subrates!$D$1,FALSE)</f>
        <v>38587.758372446813</v>
      </c>
      <c r="E14" s="52"/>
      <c r="F14" s="52"/>
      <c r="G14" s="52"/>
      <c r="H14" s="52"/>
      <c r="I14" s="52"/>
      <c r="J14" s="52"/>
      <c r="K14" s="52"/>
      <c r="L14" s="52"/>
      <c r="M14" s="52"/>
      <c r="N14" s="52"/>
      <c r="O14" s="52"/>
      <c r="P14" s="52"/>
      <c r="Q14" s="52"/>
      <c r="R14" s="52"/>
      <c r="S14" s="52"/>
      <c r="T14" s="52"/>
      <c r="U14" s="52"/>
      <c r="V14" s="52"/>
      <c r="W14" s="52"/>
      <c r="X14" s="52"/>
      <c r="Y14" s="493">
        <f t="shared" si="3"/>
        <v>0</v>
      </c>
    </row>
    <row r="15" spans="1:64" s="496" customFormat="1" ht="16.350000000000001" customHeight="1">
      <c r="A15" s="526">
        <f t="shared" si="2"/>
        <v>9</v>
      </c>
      <c r="B15" s="599" t="str">
        <f>Subrates!C109</f>
        <v>Concrete Ring, Steel, Open top, Earth, Single skin, Lined, 4 kL</v>
      </c>
      <c r="C15" s="562" t="s">
        <v>261</v>
      </c>
      <c r="D15" s="90">
        <f>VLOOKUP(B15,tank_list_values,Subrates!$D$1,FALSE)</f>
        <v>13175.482515127245</v>
      </c>
      <c r="E15" s="52"/>
      <c r="F15" s="52"/>
      <c r="G15" s="52"/>
      <c r="H15" s="52"/>
      <c r="I15" s="52"/>
      <c r="J15" s="52"/>
      <c r="K15" s="52"/>
      <c r="L15" s="52"/>
      <c r="M15" s="52"/>
      <c r="N15" s="52"/>
      <c r="O15" s="52"/>
      <c r="P15" s="52"/>
      <c r="Q15" s="52"/>
      <c r="R15" s="52"/>
      <c r="S15" s="52"/>
      <c r="T15" s="52"/>
      <c r="U15" s="52"/>
      <c r="V15" s="52"/>
      <c r="W15" s="52"/>
      <c r="X15" s="52"/>
      <c r="Y15" s="493">
        <f t="shared" si="3"/>
        <v>0</v>
      </c>
    </row>
    <row r="16" spans="1:64" s="496" customFormat="1" ht="16.350000000000001" customHeight="1">
      <c r="A16" s="526">
        <f t="shared" si="2"/>
        <v>10</v>
      </c>
      <c r="B16" s="599" t="str">
        <f>Subrates!C110</f>
        <v>Concrete Ring, Steel, Open top, Earth, Single skin, Lined, 8 kL</v>
      </c>
      <c r="C16" s="562" t="s">
        <v>261</v>
      </c>
      <c r="D16" s="90">
        <f>VLOOKUP(B16,tank_list_values,Subrates!$D$1,FALSE)</f>
        <v>19102.757692793886</v>
      </c>
      <c r="E16" s="52"/>
      <c r="F16" s="52"/>
      <c r="G16" s="52"/>
      <c r="H16" s="52"/>
      <c r="I16" s="52"/>
      <c r="J16" s="52"/>
      <c r="K16" s="52"/>
      <c r="L16" s="52"/>
      <c r="M16" s="52"/>
      <c r="N16" s="52"/>
      <c r="O16" s="52"/>
      <c r="P16" s="52"/>
      <c r="Q16" s="52"/>
      <c r="R16" s="52"/>
      <c r="S16" s="52"/>
      <c r="T16" s="52"/>
      <c r="U16" s="52"/>
      <c r="V16" s="52"/>
      <c r="W16" s="52"/>
      <c r="X16" s="52"/>
      <c r="Y16" s="493">
        <f t="shared" si="3"/>
        <v>0</v>
      </c>
    </row>
    <row r="17" spans="1:25" s="496" customFormat="1" ht="16.350000000000001" customHeight="1">
      <c r="A17" s="526">
        <f t="shared" si="2"/>
        <v>11</v>
      </c>
      <c r="B17" s="599" t="str">
        <f>Subrates!C111</f>
        <v>Concrete Ring, Steel, Open top, Earth, Single skin, Lined, 12 kL</v>
      </c>
      <c r="C17" s="562" t="s">
        <v>261</v>
      </c>
      <c r="D17" s="90">
        <f>VLOOKUP(B17,tank_list_values,Subrates!$D$1,FALSE)</f>
        <v>23442.02759656269</v>
      </c>
      <c r="E17" s="52"/>
      <c r="F17" s="52"/>
      <c r="G17" s="52"/>
      <c r="H17" s="52"/>
      <c r="I17" s="52"/>
      <c r="J17" s="52"/>
      <c r="K17" s="52"/>
      <c r="L17" s="52"/>
      <c r="M17" s="52"/>
      <c r="N17" s="52"/>
      <c r="O17" s="52"/>
      <c r="P17" s="52"/>
      <c r="Q17" s="52"/>
      <c r="R17" s="52"/>
      <c r="S17" s="52"/>
      <c r="T17" s="52"/>
      <c r="U17" s="52"/>
      <c r="V17" s="52"/>
      <c r="W17" s="52"/>
      <c r="X17" s="52"/>
      <c r="Y17" s="493">
        <f t="shared" si="3"/>
        <v>0</v>
      </c>
    </row>
    <row r="18" spans="1:25" s="496" customFormat="1" ht="16.350000000000001" customHeight="1">
      <c r="A18" s="526">
        <f t="shared" si="2"/>
        <v>12</v>
      </c>
      <c r="B18" s="599" t="str">
        <f>Subrates!C112</f>
        <v>Horizontal, Steel, Closed top, Skid, Single skin, Not lined, 1.2 kL</v>
      </c>
      <c r="C18" s="562" t="s">
        <v>261</v>
      </c>
      <c r="D18" s="90">
        <f>VLOOKUP(B18,tank_list_values,Subrates!$D$1,FALSE)</f>
        <v>1392.5910802220162</v>
      </c>
      <c r="E18" s="52"/>
      <c r="F18" s="52"/>
      <c r="G18" s="52"/>
      <c r="H18" s="52"/>
      <c r="I18" s="52"/>
      <c r="J18" s="52"/>
      <c r="K18" s="52"/>
      <c r="L18" s="52"/>
      <c r="M18" s="52"/>
      <c r="N18" s="52"/>
      <c r="O18" s="52"/>
      <c r="P18" s="52"/>
      <c r="Q18" s="52"/>
      <c r="R18" s="52"/>
      <c r="S18" s="52"/>
      <c r="T18" s="52"/>
      <c r="U18" s="52"/>
      <c r="V18" s="52"/>
      <c r="W18" s="52"/>
      <c r="X18" s="52"/>
      <c r="Y18" s="493">
        <f t="shared" si="3"/>
        <v>0</v>
      </c>
    </row>
    <row r="19" spans="1:25" s="496" customFormat="1" ht="16.350000000000001" customHeight="1">
      <c r="A19" s="526">
        <f t="shared" si="2"/>
        <v>13</v>
      </c>
      <c r="B19" s="599" t="str">
        <f>Subrates!C113</f>
        <v>Horizontal, Steel, Closed top, Skid, Single skin, Not lined, 5 kL</v>
      </c>
      <c r="C19" s="562" t="s">
        <v>261</v>
      </c>
      <c r="D19" s="90">
        <f>VLOOKUP(B19,tank_list_values,Subrates!$D$1,FALSE)</f>
        <v>1506.7209084856615</v>
      </c>
      <c r="E19" s="52"/>
      <c r="F19" s="52"/>
      <c r="G19" s="52"/>
      <c r="H19" s="52"/>
      <c r="I19" s="52"/>
      <c r="J19" s="52"/>
      <c r="K19" s="52"/>
      <c r="L19" s="52"/>
      <c r="M19" s="52"/>
      <c r="N19" s="52"/>
      <c r="O19" s="52"/>
      <c r="P19" s="52"/>
      <c r="Q19" s="52"/>
      <c r="R19" s="52"/>
      <c r="S19" s="52"/>
      <c r="T19" s="52"/>
      <c r="U19" s="52"/>
      <c r="V19" s="52"/>
      <c r="W19" s="52"/>
      <c r="X19" s="52"/>
      <c r="Y19" s="493">
        <f t="shared" si="3"/>
        <v>0</v>
      </c>
    </row>
    <row r="20" spans="1:25" s="496" customFormat="1" ht="16.350000000000001" customHeight="1">
      <c r="A20" s="526">
        <f t="shared" si="2"/>
        <v>14</v>
      </c>
      <c r="B20" s="599" t="str">
        <f>Subrates!C114</f>
        <v>Horizontal, Steel, Closed top, Skid, Single skin, Not lined, 10 kL</v>
      </c>
      <c r="C20" s="562" t="s">
        <v>261</v>
      </c>
      <c r="D20" s="90">
        <f>VLOOKUP(B20,tank_list_values,Subrates!$D$1,FALSE)</f>
        <v>1634.387519167997</v>
      </c>
      <c r="E20" s="52"/>
      <c r="F20" s="52"/>
      <c r="G20" s="52"/>
      <c r="H20" s="52"/>
      <c r="I20" s="52"/>
      <c r="J20" s="52"/>
      <c r="K20" s="52"/>
      <c r="L20" s="52"/>
      <c r="M20" s="52"/>
      <c r="N20" s="52"/>
      <c r="O20" s="52"/>
      <c r="P20" s="52"/>
      <c r="Q20" s="52"/>
      <c r="R20" s="52"/>
      <c r="S20" s="52"/>
      <c r="T20" s="52"/>
      <c r="U20" s="52"/>
      <c r="V20" s="52"/>
      <c r="W20" s="52"/>
      <c r="X20" s="52"/>
      <c r="Y20" s="493">
        <f t="shared" si="3"/>
        <v>0</v>
      </c>
    </row>
    <row r="21" spans="1:25" s="496" customFormat="1" ht="16.350000000000001" customHeight="1">
      <c r="A21" s="526">
        <f t="shared" si="2"/>
        <v>15</v>
      </c>
      <c r="B21" s="599" t="str">
        <f>Subrates!C115</f>
        <v>Horizontal, Steel, Closed top, Skid, Single skin, Not lined, 20 kL</v>
      </c>
      <c r="C21" s="562" t="s">
        <v>261</v>
      </c>
      <c r="D21" s="90">
        <f>VLOOKUP(B21,tank_list_values,Subrates!$D$1,FALSE)</f>
        <v>1847.0025288872246</v>
      </c>
      <c r="E21" s="52"/>
      <c r="F21" s="52"/>
      <c r="G21" s="52"/>
      <c r="H21" s="52"/>
      <c r="I21" s="52"/>
      <c r="J21" s="52"/>
      <c r="K21" s="52"/>
      <c r="L21" s="52"/>
      <c r="M21" s="52"/>
      <c r="N21" s="52"/>
      <c r="O21" s="52"/>
      <c r="P21" s="52"/>
      <c r="Q21" s="52"/>
      <c r="R21" s="52"/>
      <c r="S21" s="52"/>
      <c r="T21" s="52"/>
      <c r="U21" s="52"/>
      <c r="V21" s="52"/>
      <c r="W21" s="52"/>
      <c r="X21" s="52"/>
      <c r="Y21" s="493">
        <f t="shared" si="3"/>
        <v>0</v>
      </c>
    </row>
    <row r="22" spans="1:25" s="496" customFormat="1" ht="16.350000000000001" customHeight="1">
      <c r="A22" s="526">
        <f t="shared" si="2"/>
        <v>16</v>
      </c>
      <c r="B22" s="599" t="str">
        <f>Subrates!C116</f>
        <v>Horizontal, Steel, Closed top, Skid, Single skin, Not lined, 30 kL</v>
      </c>
      <c r="C22" s="562" t="s">
        <v>261</v>
      </c>
      <c r="D22" s="90">
        <f>VLOOKUP(B22,tank_list_values,Subrates!$D$1,FALSE)</f>
        <v>1917.6315847134188</v>
      </c>
      <c r="E22" s="52"/>
      <c r="F22" s="52"/>
      <c r="G22" s="52"/>
      <c r="H22" s="52"/>
      <c r="I22" s="52"/>
      <c r="J22" s="52"/>
      <c r="K22" s="52"/>
      <c r="L22" s="52"/>
      <c r="M22" s="52"/>
      <c r="N22" s="52"/>
      <c r="O22" s="52"/>
      <c r="P22" s="52"/>
      <c r="Q22" s="52"/>
      <c r="R22" s="52"/>
      <c r="S22" s="52"/>
      <c r="T22" s="52"/>
      <c r="U22" s="52"/>
      <c r="V22" s="52"/>
      <c r="W22" s="52"/>
      <c r="X22" s="52"/>
      <c r="Y22" s="493">
        <f t="shared" si="3"/>
        <v>0</v>
      </c>
    </row>
    <row r="23" spans="1:25" s="496" customFormat="1" ht="16.350000000000001" customHeight="1">
      <c r="A23" s="526">
        <f t="shared" si="2"/>
        <v>17</v>
      </c>
      <c r="B23" s="599" t="str">
        <f>Subrates!C117</f>
        <v>Horizontal, Steel, Closed top, Skid, Single skin, Not lined, 40 kL</v>
      </c>
      <c r="C23" s="562" t="s">
        <v>261</v>
      </c>
      <c r="D23" s="90">
        <f>VLOOKUP(B23,tank_list_values,Subrates!$D$1,FALSE)</f>
        <v>2122.3180286211987</v>
      </c>
      <c r="E23" s="52"/>
      <c r="F23" s="52"/>
      <c r="G23" s="52"/>
      <c r="H23" s="52"/>
      <c r="I23" s="52"/>
      <c r="J23" s="52"/>
      <c r="K23" s="52"/>
      <c r="L23" s="52"/>
      <c r="M23" s="52"/>
      <c r="N23" s="52"/>
      <c r="O23" s="52"/>
      <c r="P23" s="52"/>
      <c r="Q23" s="52"/>
      <c r="R23" s="52"/>
      <c r="S23" s="52"/>
      <c r="T23" s="52"/>
      <c r="U23" s="52"/>
      <c r="V23" s="52"/>
      <c r="W23" s="52"/>
      <c r="X23" s="52"/>
      <c r="Y23" s="493">
        <f t="shared" si="3"/>
        <v>0</v>
      </c>
    </row>
    <row r="24" spans="1:25" s="496" customFormat="1" ht="16.350000000000001" customHeight="1">
      <c r="A24" s="526">
        <f t="shared" si="2"/>
        <v>18</v>
      </c>
      <c r="B24" s="599" t="str">
        <f>Subrates!C118</f>
        <v>Horizontal, Steel, Closed top, Skid, Single skin, Not lined, 50 kL</v>
      </c>
      <c r="C24" s="562" t="s">
        <v>261</v>
      </c>
      <c r="D24" s="90">
        <f>VLOOKUP(B24,tank_list_values,Subrates!$D$1,FALSE)</f>
        <v>2282.5074195055486</v>
      </c>
      <c r="E24" s="52"/>
      <c r="F24" s="52"/>
      <c r="G24" s="52"/>
      <c r="H24" s="52"/>
      <c r="I24" s="52"/>
      <c r="J24" s="52"/>
      <c r="K24" s="52"/>
      <c r="L24" s="52"/>
      <c r="M24" s="52"/>
      <c r="N24" s="52"/>
      <c r="O24" s="52"/>
      <c r="P24" s="52"/>
      <c r="Q24" s="52"/>
      <c r="R24" s="52"/>
      <c r="S24" s="52"/>
      <c r="T24" s="52"/>
      <c r="U24" s="52"/>
      <c r="V24" s="52"/>
      <c r="W24" s="52"/>
      <c r="X24" s="52"/>
      <c r="Y24" s="493">
        <f t="shared" si="3"/>
        <v>0</v>
      </c>
    </row>
    <row r="25" spans="1:25" s="496" customFormat="1" ht="16.350000000000001" customHeight="1">
      <c r="A25" s="526">
        <f t="shared" si="2"/>
        <v>19</v>
      </c>
      <c r="B25" s="599" t="str">
        <f>Subrates!C119</f>
        <v>Horizontal, Steel, Closed top, Skid, Single skin, Not lined, 55 kL</v>
      </c>
      <c r="C25" s="562" t="s">
        <v>261</v>
      </c>
      <c r="D25" s="90">
        <f>VLOOKUP(B25,tank_list_values,Subrates!$D$1,FALSE)</f>
        <v>2335.9038831336647</v>
      </c>
      <c r="E25" s="52"/>
      <c r="F25" s="52"/>
      <c r="G25" s="52"/>
      <c r="H25" s="52"/>
      <c r="I25" s="52"/>
      <c r="J25" s="52"/>
      <c r="K25" s="52"/>
      <c r="L25" s="52"/>
      <c r="M25" s="52"/>
      <c r="N25" s="52"/>
      <c r="O25" s="52"/>
      <c r="P25" s="52"/>
      <c r="Q25" s="52"/>
      <c r="R25" s="52"/>
      <c r="S25" s="52"/>
      <c r="T25" s="52"/>
      <c r="U25" s="52"/>
      <c r="V25" s="52"/>
      <c r="W25" s="52"/>
      <c r="X25" s="52"/>
      <c r="Y25" s="493">
        <f t="shared" si="3"/>
        <v>0</v>
      </c>
    </row>
    <row r="26" spans="1:25" s="496" customFormat="1" ht="16.350000000000001" customHeight="1">
      <c r="A26" s="526">
        <f t="shared" si="2"/>
        <v>20</v>
      </c>
      <c r="B26" s="599" t="str">
        <f>Subrates!C120</f>
        <v>Horizontal, Steel, Closed top, Skid, Single skin, Not lined, 70 kL</v>
      </c>
      <c r="C26" s="562" t="s">
        <v>261</v>
      </c>
      <c r="D26" s="90">
        <f>VLOOKUP(B26,tank_list_values,Subrates!$D$1,FALSE)</f>
        <v>2549.4897376461308</v>
      </c>
      <c r="E26" s="52"/>
      <c r="F26" s="52"/>
      <c r="G26" s="52"/>
      <c r="H26" s="52"/>
      <c r="I26" s="52"/>
      <c r="J26" s="52"/>
      <c r="K26" s="52"/>
      <c r="L26" s="52"/>
      <c r="M26" s="52"/>
      <c r="N26" s="52"/>
      <c r="O26" s="52"/>
      <c r="P26" s="52"/>
      <c r="Q26" s="52"/>
      <c r="R26" s="52"/>
      <c r="S26" s="52"/>
      <c r="T26" s="52"/>
      <c r="U26" s="52"/>
      <c r="V26" s="52"/>
      <c r="W26" s="52"/>
      <c r="X26" s="52"/>
      <c r="Y26" s="493">
        <f t="shared" si="3"/>
        <v>0</v>
      </c>
    </row>
    <row r="27" spans="1:25" s="496" customFormat="1" ht="16.350000000000001" customHeight="1">
      <c r="A27" s="526">
        <f t="shared" si="2"/>
        <v>21</v>
      </c>
      <c r="B27" s="599" t="str">
        <f>Subrates!C121</f>
        <v>Horizontal, Steel, Closed top, Skid, Single skin, Not lined, 90 kL</v>
      </c>
      <c r="C27" s="562" t="s">
        <v>261</v>
      </c>
      <c r="D27" s="90">
        <f>VLOOKUP(B27,tank_list_values,Subrates!$D$1,FALSE)</f>
        <v>2653.1122286992363</v>
      </c>
      <c r="E27" s="52"/>
      <c r="F27" s="52"/>
      <c r="G27" s="52"/>
      <c r="H27" s="52"/>
      <c r="I27" s="52"/>
      <c r="J27" s="52"/>
      <c r="K27" s="52"/>
      <c r="L27" s="52"/>
      <c r="M27" s="52"/>
      <c r="N27" s="52"/>
      <c r="O27" s="52"/>
      <c r="P27" s="52"/>
      <c r="Q27" s="52"/>
      <c r="R27" s="52"/>
      <c r="S27" s="52"/>
      <c r="T27" s="52"/>
      <c r="U27" s="52"/>
      <c r="V27" s="52"/>
      <c r="W27" s="52"/>
      <c r="X27" s="52"/>
      <c r="Y27" s="493">
        <f t="shared" si="3"/>
        <v>0</v>
      </c>
    </row>
    <row r="28" spans="1:25" s="496" customFormat="1" ht="16.350000000000001" customHeight="1">
      <c r="A28" s="526">
        <f t="shared" si="2"/>
        <v>22</v>
      </c>
      <c r="B28" s="599" t="str">
        <f>Subrates!C122</f>
        <v>Horizontal, Steel, Closed top, Skid, Single skin, Not lined, 110 kL</v>
      </c>
      <c r="C28" s="562" t="s">
        <v>261</v>
      </c>
      <c r="D28" s="90">
        <f>VLOOKUP(B28,tank_list_values,Subrates!$D$1,FALSE)</f>
        <v>2855.2421146514889</v>
      </c>
      <c r="E28" s="52"/>
      <c r="F28" s="52"/>
      <c r="G28" s="52"/>
      <c r="H28" s="52"/>
      <c r="I28" s="52"/>
      <c r="J28" s="52"/>
      <c r="K28" s="52"/>
      <c r="L28" s="52"/>
      <c r="M28" s="52"/>
      <c r="N28" s="52"/>
      <c r="O28" s="52"/>
      <c r="P28" s="52"/>
      <c r="Q28" s="52"/>
      <c r="R28" s="52"/>
      <c r="S28" s="52"/>
      <c r="T28" s="52"/>
      <c r="U28" s="52"/>
      <c r="V28" s="52"/>
      <c r="W28" s="52"/>
      <c r="X28" s="52"/>
      <c r="Y28" s="493">
        <f t="shared" si="3"/>
        <v>0</v>
      </c>
    </row>
    <row r="29" spans="1:25" s="496" customFormat="1" ht="16.350000000000001" customHeight="1">
      <c r="A29" s="526">
        <f t="shared" si="2"/>
        <v>23</v>
      </c>
      <c r="B29" s="599" t="str">
        <f>Subrates!C123</f>
        <v>Vertical, Steel, Closed top, Steel, Single skin, Not lined, 100 kL</v>
      </c>
      <c r="C29" s="562" t="s">
        <v>261</v>
      </c>
      <c r="D29" s="90">
        <f>VLOOKUP(B29,tank_list_values,Subrates!$D$1,FALSE)</f>
        <v>5033.5089489912616</v>
      </c>
      <c r="E29" s="52"/>
      <c r="F29" s="52"/>
      <c r="G29" s="52"/>
      <c r="H29" s="52"/>
      <c r="I29" s="52"/>
      <c r="J29" s="52"/>
      <c r="K29" s="52"/>
      <c r="L29" s="52"/>
      <c r="M29" s="52"/>
      <c r="N29" s="52"/>
      <c r="O29" s="52"/>
      <c r="P29" s="52"/>
      <c r="Q29" s="52"/>
      <c r="R29" s="52"/>
      <c r="S29" s="52"/>
      <c r="T29" s="52"/>
      <c r="U29" s="52"/>
      <c r="V29" s="52"/>
      <c r="W29" s="52"/>
      <c r="X29" s="52"/>
      <c r="Y29" s="493">
        <f t="shared" si="3"/>
        <v>0</v>
      </c>
    </row>
    <row r="30" spans="1:25" s="496" customFormat="1" ht="16.350000000000001" customHeight="1">
      <c r="A30" s="526">
        <f t="shared" si="2"/>
        <v>24</v>
      </c>
      <c r="B30" s="599" t="str">
        <f>Subrates!C124</f>
        <v>Vertical, Steel, Closed top, Steel, Single skin, Not lined, 200 kL</v>
      </c>
      <c r="C30" s="562" t="s">
        <v>261</v>
      </c>
      <c r="D30" s="90">
        <f>VLOOKUP(B30,tank_list_values,Subrates!$D$1,FALSE)</f>
        <v>6361.7169861420043</v>
      </c>
      <c r="E30" s="52"/>
      <c r="F30" s="52"/>
      <c r="G30" s="52"/>
      <c r="H30" s="52"/>
      <c r="I30" s="52"/>
      <c r="J30" s="52"/>
      <c r="K30" s="52"/>
      <c r="L30" s="52"/>
      <c r="M30" s="52"/>
      <c r="N30" s="52"/>
      <c r="O30" s="52"/>
      <c r="P30" s="52"/>
      <c r="Q30" s="52"/>
      <c r="R30" s="52"/>
      <c r="S30" s="52"/>
      <c r="T30" s="52"/>
      <c r="U30" s="52"/>
      <c r="V30" s="52"/>
      <c r="W30" s="52"/>
      <c r="X30" s="52"/>
      <c r="Y30" s="493">
        <f t="shared" si="3"/>
        <v>0</v>
      </c>
    </row>
    <row r="31" spans="1:25" s="496" customFormat="1" ht="16.350000000000001" customHeight="1">
      <c r="A31" s="526">
        <f t="shared" si="2"/>
        <v>25</v>
      </c>
      <c r="B31" s="599" t="str">
        <f>Subrates!C125</f>
        <v>Vertical, Steel, Closed top, Steel, Single skin, Not lined, 300 kL</v>
      </c>
      <c r="C31" s="562" t="s">
        <v>261</v>
      </c>
      <c r="D31" s="90">
        <f>VLOOKUP(B31,tank_list_values,Subrates!$D$1,FALSE)</f>
        <v>7887.3179777047944</v>
      </c>
      <c r="E31" s="52"/>
      <c r="F31" s="52"/>
      <c r="G31" s="52"/>
      <c r="H31" s="52"/>
      <c r="I31" s="52"/>
      <c r="J31" s="52"/>
      <c r="K31" s="52"/>
      <c r="L31" s="52"/>
      <c r="M31" s="52"/>
      <c r="N31" s="52"/>
      <c r="O31" s="52"/>
      <c r="P31" s="52"/>
      <c r="Q31" s="52"/>
      <c r="R31" s="52"/>
      <c r="S31" s="52"/>
      <c r="T31" s="52"/>
      <c r="U31" s="52"/>
      <c r="V31" s="52"/>
      <c r="W31" s="52"/>
      <c r="X31" s="52"/>
      <c r="Y31" s="493">
        <f t="shared" si="3"/>
        <v>0</v>
      </c>
    </row>
    <row r="32" spans="1:25" s="496" customFormat="1" ht="16.350000000000001" customHeight="1">
      <c r="A32" s="526">
        <f t="shared" si="2"/>
        <v>26</v>
      </c>
      <c r="B32" s="599" t="str">
        <f>Subrates!C126</f>
        <v>Vertical, Steel, Closed top, Steel, Single skin, Not lined, 500 kL</v>
      </c>
      <c r="C32" s="562" t="s">
        <v>261</v>
      </c>
      <c r="D32" s="90">
        <f>VLOOKUP(B32,tank_list_values,Subrates!$D$1,FALSE)</f>
        <v>11733.126506088049</v>
      </c>
      <c r="E32" s="52"/>
      <c r="F32" s="52"/>
      <c r="G32" s="52"/>
      <c r="H32" s="52"/>
      <c r="I32" s="52"/>
      <c r="J32" s="52"/>
      <c r="K32" s="52"/>
      <c r="L32" s="52"/>
      <c r="M32" s="52"/>
      <c r="N32" s="52"/>
      <c r="O32" s="52"/>
      <c r="P32" s="52"/>
      <c r="Q32" s="52"/>
      <c r="R32" s="52"/>
      <c r="S32" s="52"/>
      <c r="T32" s="52"/>
      <c r="U32" s="52"/>
      <c r="V32" s="52"/>
      <c r="W32" s="52"/>
      <c r="X32" s="52"/>
      <c r="Y32" s="493">
        <f t="shared" si="3"/>
        <v>0</v>
      </c>
    </row>
    <row r="33" spans="1:25" s="496" customFormat="1" ht="16.350000000000001" customHeight="1">
      <c r="A33" s="526">
        <f t="shared" si="2"/>
        <v>27</v>
      </c>
      <c r="B33" s="599" t="str">
        <f>Subrates!C127</f>
        <v>Vertical, Steel, Closed top, Steel, Single skin, Not lined, 1000 kL</v>
      </c>
      <c r="C33" s="562" t="s">
        <v>261</v>
      </c>
      <c r="D33" s="90">
        <f>VLOOKUP(B33,tank_list_values,Subrates!$D$1,FALSE)</f>
        <v>16420.06905489269</v>
      </c>
      <c r="E33" s="52"/>
      <c r="F33" s="52"/>
      <c r="G33" s="52"/>
      <c r="H33" s="52"/>
      <c r="I33" s="52"/>
      <c r="J33" s="52"/>
      <c r="K33" s="52"/>
      <c r="L33" s="52"/>
      <c r="M33" s="52"/>
      <c r="N33" s="52"/>
      <c r="O33" s="52"/>
      <c r="P33" s="52"/>
      <c r="Q33" s="52"/>
      <c r="R33" s="52"/>
      <c r="S33" s="52"/>
      <c r="T33" s="52"/>
      <c r="U33" s="52"/>
      <c r="V33" s="52"/>
      <c r="W33" s="52"/>
      <c r="X33" s="52"/>
      <c r="Y33" s="493">
        <f t="shared" si="3"/>
        <v>0</v>
      </c>
    </row>
    <row r="34" spans="1:25" s="496" customFormat="1" ht="16.350000000000001" customHeight="1">
      <c r="A34" s="526">
        <f t="shared" si="2"/>
        <v>28</v>
      </c>
      <c r="B34" s="599" t="str">
        <f>Subrates!C128</f>
        <v>Vertical, Steel, Closed top, Steel, Single skin, Not lined, 2000 kL</v>
      </c>
      <c r="C34" s="562" t="s">
        <v>261</v>
      </c>
      <c r="D34" s="90">
        <f>VLOOKUP(B34,tank_list_values,Subrates!$D$1,FALSE)</f>
        <v>23031.099576222729</v>
      </c>
      <c r="E34" s="52"/>
      <c r="F34" s="52"/>
      <c r="G34" s="52"/>
      <c r="H34" s="52"/>
      <c r="I34" s="52"/>
      <c r="J34" s="52"/>
      <c r="K34" s="52"/>
      <c r="L34" s="52"/>
      <c r="M34" s="52"/>
      <c r="N34" s="52"/>
      <c r="O34" s="52"/>
      <c r="P34" s="52"/>
      <c r="Q34" s="52"/>
      <c r="R34" s="52"/>
      <c r="S34" s="52"/>
      <c r="T34" s="52"/>
      <c r="U34" s="52"/>
      <c r="V34" s="52"/>
      <c r="W34" s="52"/>
      <c r="X34" s="52"/>
      <c r="Y34" s="493">
        <f t="shared" si="3"/>
        <v>0</v>
      </c>
    </row>
    <row r="35" spans="1:25" s="496" customFormat="1" ht="16.350000000000001" customHeight="1">
      <c r="A35" s="526">
        <f t="shared" si="2"/>
        <v>29</v>
      </c>
      <c r="B35" s="599" t="str">
        <f>Subrates!C129</f>
        <v>Vertical, Steel, Closed top, Steel, Single skin, Not lined, 3000 kL</v>
      </c>
      <c r="C35" s="562" t="s">
        <v>261</v>
      </c>
      <c r="D35" s="90">
        <f>VLOOKUP(B35,tank_list_values,Subrates!$D$1,FALSE)</f>
        <v>29676.737664114116</v>
      </c>
      <c r="E35" s="52"/>
      <c r="F35" s="52"/>
      <c r="G35" s="52"/>
      <c r="H35" s="52"/>
      <c r="I35" s="52"/>
      <c r="J35" s="52"/>
      <c r="K35" s="52"/>
      <c r="L35" s="52"/>
      <c r="M35" s="52"/>
      <c r="N35" s="52"/>
      <c r="O35" s="52"/>
      <c r="P35" s="52"/>
      <c r="Q35" s="52"/>
      <c r="R35" s="52"/>
      <c r="S35" s="52"/>
      <c r="T35" s="52"/>
      <c r="U35" s="52"/>
      <c r="V35" s="52"/>
      <c r="W35" s="52"/>
      <c r="X35" s="52"/>
      <c r="Y35" s="493">
        <f t="shared" si="3"/>
        <v>0</v>
      </c>
    </row>
    <row r="36" spans="1:25" s="496" customFormat="1" ht="16.350000000000001" customHeight="1">
      <c r="A36" s="526">
        <f t="shared" si="2"/>
        <v>30</v>
      </c>
      <c r="B36" s="599" t="str">
        <f>Subrates!C130</f>
        <v>Vertical, Steel, Closed top, Steel, Single skin, Not lined, 5000 kL</v>
      </c>
      <c r="C36" s="562" t="s">
        <v>261</v>
      </c>
      <c r="D36" s="90">
        <f>VLOOKUP(B36,tank_list_values,Subrates!$D$1,FALSE)</f>
        <v>37677.29508255668</v>
      </c>
      <c r="E36" s="52"/>
      <c r="F36" s="52"/>
      <c r="G36" s="52"/>
      <c r="H36" s="52"/>
      <c r="I36" s="52"/>
      <c r="J36" s="52"/>
      <c r="K36" s="52"/>
      <c r="L36" s="52"/>
      <c r="M36" s="52"/>
      <c r="N36" s="52"/>
      <c r="O36" s="52"/>
      <c r="P36" s="52"/>
      <c r="Q36" s="52"/>
      <c r="R36" s="52"/>
      <c r="S36" s="52"/>
      <c r="T36" s="52"/>
      <c r="U36" s="52"/>
      <c r="V36" s="52"/>
      <c r="W36" s="52"/>
      <c r="X36" s="52"/>
      <c r="Y36" s="493">
        <f t="shared" si="3"/>
        <v>0</v>
      </c>
    </row>
    <row r="37" spans="1:25" s="496" customFormat="1" ht="16.350000000000001" customHeight="1">
      <c r="A37" s="526">
        <f t="shared" si="2"/>
        <v>31</v>
      </c>
      <c r="B37" s="599" t="str">
        <f>Subrates!C131</f>
        <v>Vertical, Steel, Closed top, Steel, Single skin, Not lined, 7500 kL</v>
      </c>
      <c r="C37" s="562" t="s">
        <v>261</v>
      </c>
      <c r="D37" s="90">
        <f>VLOOKUP(B37,tank_list_values,Subrates!$D$1,FALSE)</f>
        <v>45065.535632496736</v>
      </c>
      <c r="E37" s="52"/>
      <c r="F37" s="52"/>
      <c r="G37" s="52"/>
      <c r="H37" s="52"/>
      <c r="I37" s="52"/>
      <c r="J37" s="52"/>
      <c r="K37" s="52"/>
      <c r="L37" s="52"/>
      <c r="M37" s="52"/>
      <c r="N37" s="52"/>
      <c r="O37" s="52"/>
      <c r="P37" s="52"/>
      <c r="Q37" s="52"/>
      <c r="R37" s="52"/>
      <c r="S37" s="52"/>
      <c r="T37" s="52"/>
      <c r="U37" s="52"/>
      <c r="V37" s="52"/>
      <c r="W37" s="52"/>
      <c r="X37" s="52"/>
      <c r="Y37" s="493">
        <f t="shared" si="3"/>
        <v>0</v>
      </c>
    </row>
    <row r="38" spans="1:25" s="496" customFormat="1" ht="16.350000000000001" customHeight="1">
      <c r="A38" s="526">
        <f t="shared" si="2"/>
        <v>32</v>
      </c>
      <c r="B38" s="599" t="str">
        <f>Subrates!C132</f>
        <v>Vertical, Steel, Closed top, Steel, Single skin, Not lined, 10000 kL</v>
      </c>
      <c r="C38" s="562" t="s">
        <v>261</v>
      </c>
      <c r="D38" s="90">
        <f>VLOOKUP(B38,tank_list_values,Subrates!$D$1,FALSE)</f>
        <v>52377.107699026703</v>
      </c>
      <c r="E38" s="52"/>
      <c r="F38" s="52"/>
      <c r="G38" s="52"/>
      <c r="H38" s="52"/>
      <c r="I38" s="52"/>
      <c r="J38" s="52"/>
      <c r="K38" s="52"/>
      <c r="L38" s="52"/>
      <c r="M38" s="52"/>
      <c r="N38" s="52"/>
      <c r="O38" s="52"/>
      <c r="P38" s="52"/>
      <c r="Q38" s="52"/>
      <c r="R38" s="52"/>
      <c r="S38" s="52"/>
      <c r="T38" s="52"/>
      <c r="U38" s="52"/>
      <c r="V38" s="52"/>
      <c r="W38" s="52"/>
      <c r="X38" s="52"/>
      <c r="Y38" s="493">
        <f t="shared" si="3"/>
        <v>0</v>
      </c>
    </row>
    <row r="39" spans="1:25" s="496" customFormat="1" ht="16.350000000000001" customHeight="1">
      <c r="A39" s="526">
        <f t="shared" si="2"/>
        <v>33</v>
      </c>
      <c r="B39" s="599" t="str">
        <f>Subrates!C133</f>
        <v>Panel, Concrete, Open top, Earth, Single skin, Lined, 1.2 ML</v>
      </c>
      <c r="C39" s="562" t="s">
        <v>261</v>
      </c>
      <c r="D39" s="90">
        <f>VLOOKUP(B39,tank_list_values,Subrates!$D$1,FALSE)</f>
        <v>16194.767315026074</v>
      </c>
      <c r="E39" s="52"/>
      <c r="F39" s="52"/>
      <c r="G39" s="52"/>
      <c r="H39" s="52"/>
      <c r="I39" s="52"/>
      <c r="J39" s="52"/>
      <c r="K39" s="52"/>
      <c r="L39" s="52"/>
      <c r="M39" s="52"/>
      <c r="N39" s="52"/>
      <c r="O39" s="52"/>
      <c r="P39" s="52"/>
      <c r="Q39" s="52"/>
      <c r="R39" s="52"/>
      <c r="S39" s="52"/>
      <c r="T39" s="52"/>
      <c r="U39" s="52"/>
      <c r="V39" s="52"/>
      <c r="W39" s="52"/>
      <c r="X39" s="52"/>
      <c r="Y39" s="493">
        <f t="shared" si="3"/>
        <v>0</v>
      </c>
    </row>
    <row r="40" spans="1:25" s="496" customFormat="1" ht="16.350000000000001" customHeight="1">
      <c r="A40" s="526">
        <f t="shared" si="2"/>
        <v>34</v>
      </c>
      <c r="B40" s="599" t="str">
        <f>Subrates!C134</f>
        <v>Panel, Concrete, Open top, Earth, Single skin, Lined, 1.9 ML</v>
      </c>
      <c r="C40" s="562" t="s">
        <v>261</v>
      </c>
      <c r="D40" s="90">
        <f>VLOOKUP(B40,tank_list_values,Subrates!$D$1,FALSE)</f>
        <v>20991.691212316535</v>
      </c>
      <c r="E40" s="52"/>
      <c r="F40" s="52"/>
      <c r="G40" s="52"/>
      <c r="H40" s="52"/>
      <c r="I40" s="52"/>
      <c r="J40" s="52"/>
      <c r="K40" s="52"/>
      <c r="L40" s="52"/>
      <c r="M40" s="52"/>
      <c r="N40" s="52"/>
      <c r="O40" s="52"/>
      <c r="P40" s="52"/>
      <c r="Q40" s="52"/>
      <c r="R40" s="52"/>
      <c r="S40" s="52"/>
      <c r="T40" s="52"/>
      <c r="U40" s="52"/>
      <c r="V40" s="52"/>
      <c r="W40" s="52"/>
      <c r="X40" s="52"/>
      <c r="Y40" s="493">
        <f t="shared" si="3"/>
        <v>0</v>
      </c>
    </row>
    <row r="41" spans="1:25" s="496" customFormat="1" ht="16.350000000000001" customHeight="1">
      <c r="A41" s="526">
        <f t="shared" si="2"/>
        <v>35</v>
      </c>
      <c r="B41" s="599" t="str">
        <f>Subrates!C135</f>
        <v>Panel, Concrete, Open top, Earth, Single skin, Lined, 3.6 ML</v>
      </c>
      <c r="C41" s="562" t="s">
        <v>261</v>
      </c>
      <c r="D41" s="90">
        <f>VLOOKUP(B41,tank_list_values,Subrates!$D$1,FALSE)</f>
        <v>33305.031288593949</v>
      </c>
      <c r="E41" s="52"/>
      <c r="F41" s="52"/>
      <c r="G41" s="52"/>
      <c r="H41" s="52"/>
      <c r="I41" s="52"/>
      <c r="J41" s="52"/>
      <c r="K41" s="52"/>
      <c r="L41" s="52"/>
      <c r="M41" s="52"/>
      <c r="N41" s="52"/>
      <c r="O41" s="52"/>
      <c r="P41" s="52"/>
      <c r="Q41" s="52"/>
      <c r="R41" s="52"/>
      <c r="S41" s="52"/>
      <c r="T41" s="52"/>
      <c r="U41" s="52"/>
      <c r="V41" s="52"/>
      <c r="W41" s="52"/>
      <c r="X41" s="52"/>
      <c r="Y41" s="493">
        <f t="shared" si="3"/>
        <v>0</v>
      </c>
    </row>
    <row r="42" spans="1:25" s="496" customFormat="1" ht="16.350000000000001" customHeight="1">
      <c r="A42" s="526">
        <f t="shared" si="2"/>
        <v>36</v>
      </c>
      <c r="B42" s="599" t="str">
        <f>Subrates!C136</f>
        <v>Panel, Concrete, Open top, Earth, Single skin, Lined, 5.5 ML</v>
      </c>
      <c r="C42" s="562" t="s">
        <v>261</v>
      </c>
      <c r="D42" s="90">
        <f>VLOOKUP(B42,tank_list_values,Subrates!$D$1,FALSE)</f>
        <v>42944.557541321912</v>
      </c>
      <c r="E42" s="52"/>
      <c r="F42" s="52"/>
      <c r="G42" s="52"/>
      <c r="H42" s="52"/>
      <c r="I42" s="52"/>
      <c r="J42" s="52"/>
      <c r="K42" s="52"/>
      <c r="L42" s="52"/>
      <c r="M42" s="52"/>
      <c r="N42" s="52"/>
      <c r="O42" s="52"/>
      <c r="P42" s="52"/>
      <c r="Q42" s="52"/>
      <c r="R42" s="52"/>
      <c r="S42" s="52"/>
      <c r="T42" s="52"/>
      <c r="U42" s="52"/>
      <c r="V42" s="52"/>
      <c r="W42" s="52"/>
      <c r="X42" s="52"/>
      <c r="Y42" s="493">
        <f t="shared" si="3"/>
        <v>0</v>
      </c>
    </row>
    <row r="43" spans="1:25" s="496" customFormat="1" ht="16.350000000000001" customHeight="1">
      <c r="A43" s="526">
        <f t="shared" si="2"/>
        <v>37</v>
      </c>
      <c r="B43" s="599" t="str">
        <f>Subrates!C137</f>
        <v>Panel, Concrete, Open top, Earth, Single skin, Lined, 7.6 ML</v>
      </c>
      <c r="C43" s="562" t="s">
        <v>261</v>
      </c>
      <c r="D43" s="90">
        <f>VLOOKUP(B43,tank_list_values,Subrates!$D$1,FALSE)</f>
        <v>53399.827057057017</v>
      </c>
      <c r="E43" s="52"/>
      <c r="F43" s="52"/>
      <c r="G43" s="52"/>
      <c r="H43" s="52"/>
      <c r="I43" s="52"/>
      <c r="J43" s="52"/>
      <c r="K43" s="52"/>
      <c r="L43" s="52"/>
      <c r="M43" s="52"/>
      <c r="N43" s="52"/>
      <c r="O43" s="52"/>
      <c r="P43" s="52"/>
      <c r="Q43" s="52"/>
      <c r="R43" s="52"/>
      <c r="S43" s="52"/>
      <c r="T43" s="52"/>
      <c r="U43" s="52"/>
      <c r="V43" s="52"/>
      <c r="W43" s="52"/>
      <c r="X43" s="52"/>
      <c r="Y43" s="493">
        <f t="shared" si="3"/>
        <v>0</v>
      </c>
    </row>
    <row r="44" spans="1:25" s="496" customFormat="1" ht="16.350000000000001" customHeight="1">
      <c r="A44" s="526">
        <f t="shared" si="2"/>
        <v>38</v>
      </c>
      <c r="B44" s="599" t="str">
        <f>Subrates!C138</f>
        <v>Panel, Concrete, Open top, Earth, Single skin, Lined, 12 ML</v>
      </c>
      <c r="C44" s="562" t="s">
        <v>261</v>
      </c>
      <c r="D44" s="90">
        <f>VLOOKUP(B44,tank_list_values,Subrates!$D$1,FALSE)</f>
        <v>71989.773227964863</v>
      </c>
      <c r="E44" s="52"/>
      <c r="F44" s="52"/>
      <c r="G44" s="52"/>
      <c r="H44" s="52"/>
      <c r="I44" s="52"/>
      <c r="J44" s="52"/>
      <c r="K44" s="52"/>
      <c r="L44" s="52"/>
      <c r="M44" s="52"/>
      <c r="N44" s="52"/>
      <c r="O44" s="52"/>
      <c r="P44" s="52"/>
      <c r="Q44" s="52"/>
      <c r="R44" s="52"/>
      <c r="S44" s="52"/>
      <c r="T44" s="52"/>
      <c r="U44" s="52"/>
      <c r="V44" s="52"/>
      <c r="W44" s="52"/>
      <c r="X44" s="52"/>
      <c r="Y44" s="493">
        <f t="shared" si="3"/>
        <v>0</v>
      </c>
    </row>
    <row r="45" spans="1:25" s="496" customFormat="1" ht="16.350000000000001" customHeight="1">
      <c r="A45" s="526">
        <f t="shared" si="2"/>
        <v>39</v>
      </c>
      <c r="B45" s="599" t="str">
        <f>Subrates!C139</f>
        <v>Panel, Concrete, Open top, Earth, Single skin, Lined, 15.5 ML</v>
      </c>
      <c r="C45" s="562" t="s">
        <v>261</v>
      </c>
      <c r="D45" s="90">
        <f>VLOOKUP(B45,tank_list_values,Subrates!$D$1,FALSE)</f>
        <v>86068.567425192625</v>
      </c>
      <c r="E45" s="52"/>
      <c r="F45" s="52"/>
      <c r="G45" s="52"/>
      <c r="H45" s="52"/>
      <c r="I45" s="52"/>
      <c r="J45" s="52"/>
      <c r="K45" s="52"/>
      <c r="L45" s="52"/>
      <c r="M45" s="52"/>
      <c r="N45" s="52"/>
      <c r="O45" s="52"/>
      <c r="P45" s="52"/>
      <c r="Q45" s="52"/>
      <c r="R45" s="52"/>
      <c r="S45" s="52"/>
      <c r="T45" s="52"/>
      <c r="U45" s="52"/>
      <c r="V45" s="52"/>
      <c r="W45" s="52"/>
      <c r="X45" s="52"/>
      <c r="Y45" s="493">
        <f t="shared" si="3"/>
        <v>0</v>
      </c>
    </row>
    <row r="46" spans="1:25" s="496" customFormat="1" ht="16.350000000000001" customHeight="1">
      <c r="A46" s="526">
        <f t="shared" si="2"/>
        <v>40</v>
      </c>
      <c r="B46" s="599" t="str">
        <f>Subrates!C140</f>
        <v>Panel, Concrete, Open top, Earth, Single skin, Lined, 25 ML</v>
      </c>
      <c r="C46" s="562" t="s">
        <v>261</v>
      </c>
      <c r="D46" s="90">
        <f>VLOOKUP(B46,tank_list_values,Subrates!$D$1,FALSE)</f>
        <v>125535.85535533386</v>
      </c>
      <c r="E46" s="52"/>
      <c r="F46" s="52"/>
      <c r="G46" s="52"/>
      <c r="H46" s="52"/>
      <c r="I46" s="52"/>
      <c r="J46" s="52"/>
      <c r="K46" s="52"/>
      <c r="L46" s="52"/>
      <c r="M46" s="52"/>
      <c r="N46" s="52"/>
      <c r="O46" s="52"/>
      <c r="P46" s="52"/>
      <c r="Q46" s="52"/>
      <c r="R46" s="52"/>
      <c r="S46" s="52"/>
      <c r="T46" s="52"/>
      <c r="U46" s="52"/>
      <c r="V46" s="52"/>
      <c r="W46" s="52"/>
      <c r="X46" s="52"/>
      <c r="Y46" s="493">
        <f t="shared" si="3"/>
        <v>0</v>
      </c>
    </row>
    <row r="47" spans="1:25" s="496" customFormat="1" ht="16.350000000000001" customHeight="1">
      <c r="A47" s="526">
        <f t="shared" si="2"/>
        <v>41</v>
      </c>
      <c r="B47" s="599" t="str">
        <f>Subrates!C141</f>
        <v>Panel, Concrete, Open top, Earth, Single skin, Lined, 40 ML</v>
      </c>
      <c r="C47" s="562" t="s">
        <v>261</v>
      </c>
      <c r="D47" s="90">
        <f>VLOOKUP(B47,tank_list_values,Subrates!$D$1,FALSE)</f>
        <v>178567.55028451674</v>
      </c>
      <c r="E47" s="52"/>
      <c r="F47" s="52"/>
      <c r="G47" s="52"/>
      <c r="H47" s="52"/>
      <c r="I47" s="52"/>
      <c r="J47" s="52"/>
      <c r="K47" s="52"/>
      <c r="L47" s="52"/>
      <c r="M47" s="52"/>
      <c r="N47" s="52"/>
      <c r="O47" s="52"/>
      <c r="P47" s="52"/>
      <c r="Q47" s="52"/>
      <c r="R47" s="52"/>
      <c r="S47" s="52"/>
      <c r="T47" s="52"/>
      <c r="U47" s="52"/>
      <c r="V47" s="52"/>
      <c r="W47" s="52"/>
      <c r="X47" s="52"/>
      <c r="Y47" s="493">
        <f t="shared" si="3"/>
        <v>0</v>
      </c>
    </row>
    <row r="48" spans="1:25" s="496" customFormat="1" ht="16.350000000000001" customHeight="1">
      <c r="A48" s="526">
        <f t="shared" si="2"/>
        <v>42</v>
      </c>
      <c r="B48" s="599" t="str">
        <f>Subrates!C142</f>
        <v>Panel, Concrete, Open top, Earth, Single skin, Lined, 50 ML</v>
      </c>
      <c r="C48" s="562" t="s">
        <v>261</v>
      </c>
      <c r="D48" s="90">
        <f>VLOOKUP(B48,tank_list_values,Subrates!$D$1,FALSE)</f>
        <v>210284.11348642068</v>
      </c>
      <c r="E48" s="52"/>
      <c r="F48" s="52"/>
      <c r="G48" s="52"/>
      <c r="H48" s="52"/>
      <c r="I48" s="52"/>
      <c r="J48" s="52"/>
      <c r="K48" s="52"/>
      <c r="L48" s="52"/>
      <c r="M48" s="52"/>
      <c r="N48" s="52"/>
      <c r="O48" s="52"/>
      <c r="P48" s="52"/>
      <c r="Q48" s="52"/>
      <c r="R48" s="52"/>
      <c r="S48" s="52"/>
      <c r="T48" s="52"/>
      <c r="U48" s="52"/>
      <c r="V48" s="52"/>
      <c r="W48" s="52"/>
      <c r="X48" s="52"/>
      <c r="Y48" s="493">
        <f t="shared" si="3"/>
        <v>0</v>
      </c>
    </row>
    <row r="49" spans="1:25" s="496" customFormat="1" ht="16.350000000000001" customHeight="1">
      <c r="A49" s="526">
        <f t="shared" si="2"/>
        <v>43</v>
      </c>
      <c r="B49" s="599" t="s">
        <v>1928</v>
      </c>
      <c r="C49" s="562" t="s">
        <v>1929</v>
      </c>
      <c r="D49" s="90">
        <f>Subrates!D155</f>
        <v>25090.427775912354</v>
      </c>
      <c r="E49" s="52"/>
      <c r="F49" s="52"/>
      <c r="G49" s="52"/>
      <c r="H49" s="52"/>
      <c r="I49" s="52"/>
      <c r="J49" s="52"/>
      <c r="K49" s="52"/>
      <c r="L49" s="52"/>
      <c r="M49" s="52"/>
      <c r="N49" s="52"/>
      <c r="O49" s="52"/>
      <c r="P49" s="52"/>
      <c r="Q49" s="52"/>
      <c r="R49" s="52"/>
      <c r="S49" s="52"/>
      <c r="T49" s="52"/>
      <c r="U49" s="52"/>
      <c r="V49" s="52"/>
      <c r="W49" s="52"/>
      <c r="X49" s="52"/>
      <c r="Y49" s="496">
        <f t="shared" si="3"/>
        <v>0</v>
      </c>
    </row>
    <row r="50" spans="1:25" s="496" customFormat="1" ht="16.350000000000001" customHeight="1">
      <c r="A50" s="526">
        <f t="shared" si="2"/>
        <v>44</v>
      </c>
      <c r="B50" s="599" t="s">
        <v>1930</v>
      </c>
      <c r="C50" s="562" t="s">
        <v>257</v>
      </c>
      <c r="D50" s="90">
        <f>Subrates!$D$154</f>
        <v>4832.5772829736798</v>
      </c>
      <c r="E50" s="52"/>
      <c r="F50" s="52"/>
      <c r="G50" s="52"/>
      <c r="H50" s="52"/>
      <c r="I50" s="52"/>
      <c r="J50" s="52"/>
      <c r="K50" s="52"/>
      <c r="L50" s="52"/>
      <c r="M50" s="52"/>
      <c r="N50" s="52"/>
      <c r="O50" s="52"/>
      <c r="P50" s="52"/>
      <c r="Q50" s="52"/>
      <c r="R50" s="52"/>
      <c r="S50" s="52"/>
      <c r="T50" s="52"/>
      <c r="U50" s="52"/>
      <c r="V50" s="52"/>
      <c r="W50" s="52"/>
      <c r="X50" s="52"/>
      <c r="Y50" s="496">
        <f t="shared" si="3"/>
        <v>0</v>
      </c>
    </row>
    <row r="51" spans="1:25" s="496" customFormat="1" ht="16.350000000000001" customHeight="1">
      <c r="A51" s="526">
        <f t="shared" si="2"/>
        <v>45</v>
      </c>
      <c r="B51" s="599" t="s">
        <v>1931</v>
      </c>
      <c r="C51" s="562" t="s">
        <v>17</v>
      </c>
      <c r="D51" s="90">
        <f>Main!J353</f>
        <v>9580.1564649555021</v>
      </c>
      <c r="E51" s="52"/>
      <c r="F51" s="52"/>
      <c r="G51" s="52"/>
      <c r="H51" s="52"/>
      <c r="I51" s="52"/>
      <c r="J51" s="52"/>
      <c r="K51" s="52"/>
      <c r="L51" s="52"/>
      <c r="M51" s="52"/>
      <c r="N51" s="52"/>
      <c r="O51" s="52"/>
      <c r="P51" s="52"/>
      <c r="Q51" s="52"/>
      <c r="R51" s="52"/>
      <c r="S51" s="52"/>
      <c r="T51" s="52"/>
      <c r="U51" s="52"/>
      <c r="V51" s="52"/>
      <c r="W51" s="52"/>
      <c r="X51" s="52"/>
      <c r="Y51" s="496">
        <f t="shared" si="3"/>
        <v>0</v>
      </c>
    </row>
    <row r="52" spans="1:25" s="496" customFormat="1" ht="16.350000000000001" customHeight="1">
      <c r="A52" s="526">
        <f t="shared" si="2"/>
        <v>46</v>
      </c>
      <c r="B52" s="599" t="str">
        <f>Subrates!C151</f>
        <v>Pumps and Controls</v>
      </c>
      <c r="C52" s="562" t="s">
        <v>80</v>
      </c>
      <c r="D52" s="90">
        <f>Subrates!D151</f>
        <v>431.16750536680615</v>
      </c>
      <c r="E52" s="89"/>
      <c r="F52" s="89"/>
      <c r="G52" s="89"/>
      <c r="H52" s="89"/>
      <c r="I52" s="89"/>
      <c r="J52" s="89"/>
      <c r="K52" s="89"/>
      <c r="L52" s="89"/>
      <c r="M52" s="89"/>
      <c r="N52" s="89"/>
      <c r="O52" s="89"/>
      <c r="P52" s="89"/>
      <c r="Q52" s="89"/>
      <c r="R52" s="89"/>
      <c r="S52" s="89"/>
      <c r="T52" s="89"/>
      <c r="U52" s="89"/>
      <c r="V52" s="89"/>
      <c r="W52" s="89"/>
      <c r="X52" s="89"/>
      <c r="Y52" s="496">
        <f t="shared" si="3"/>
        <v>0</v>
      </c>
    </row>
    <row r="53" spans="1:25" s="496" customFormat="1" ht="16.350000000000001" customHeight="1">
      <c r="A53" s="526">
        <f t="shared" si="2"/>
        <v>47</v>
      </c>
      <c r="B53" s="599" t="s">
        <v>1932</v>
      </c>
      <c r="C53" s="562" t="s">
        <v>80</v>
      </c>
      <c r="D53" s="90">
        <f>Subrates!D153</f>
        <v>1013.5890272564333</v>
      </c>
      <c r="E53" s="89"/>
      <c r="F53" s="89"/>
      <c r="G53" s="89"/>
      <c r="H53" s="89"/>
      <c r="I53" s="89"/>
      <c r="J53" s="89"/>
      <c r="K53" s="89"/>
      <c r="L53" s="89"/>
      <c r="M53" s="89"/>
      <c r="N53" s="89"/>
      <c r="O53" s="89"/>
      <c r="P53" s="89"/>
      <c r="Q53" s="89"/>
      <c r="R53" s="89"/>
      <c r="S53" s="89"/>
      <c r="T53" s="89"/>
      <c r="U53" s="89"/>
      <c r="V53" s="89"/>
      <c r="W53" s="89"/>
      <c r="X53" s="89"/>
      <c r="Y53" s="496">
        <f t="shared" si="3"/>
        <v>0</v>
      </c>
    </row>
    <row r="54" spans="1:25" s="496" customFormat="1" ht="16.350000000000001" customHeight="1">
      <c r="A54" s="526">
        <f t="shared" si="2"/>
        <v>48</v>
      </c>
      <c r="B54" s="599" t="s">
        <v>1933</v>
      </c>
      <c r="C54" s="562" t="s">
        <v>79</v>
      </c>
      <c r="D54" s="90">
        <f>Subrates!D152</f>
        <v>23.087199820666662</v>
      </c>
      <c r="E54" s="89"/>
      <c r="F54" s="89"/>
      <c r="G54" s="89"/>
      <c r="H54" s="89"/>
      <c r="I54" s="89"/>
      <c r="J54" s="89"/>
      <c r="K54" s="89"/>
      <c r="L54" s="89"/>
      <c r="M54" s="89"/>
      <c r="N54" s="89"/>
      <c r="O54" s="89"/>
      <c r="P54" s="89"/>
      <c r="Q54" s="89"/>
      <c r="R54" s="89"/>
      <c r="S54" s="89"/>
      <c r="T54" s="89"/>
      <c r="U54" s="89"/>
      <c r="V54" s="89"/>
      <c r="W54" s="89"/>
      <c r="X54" s="89"/>
      <c r="Y54" s="496">
        <f t="shared" si="3"/>
        <v>0</v>
      </c>
    </row>
    <row r="55" spans="1:25" s="496" customFormat="1" ht="16.350000000000001" customHeight="1">
      <c r="A55" s="526">
        <f t="shared" si="2"/>
        <v>49</v>
      </c>
      <c r="B55" s="599" t="s">
        <v>1934</v>
      </c>
      <c r="C55" s="562" t="s">
        <v>1935</v>
      </c>
      <c r="D55" s="90">
        <v>500</v>
      </c>
      <c r="E55" s="89"/>
      <c r="F55" s="89"/>
      <c r="G55" s="89"/>
      <c r="H55" s="89"/>
      <c r="I55" s="89"/>
      <c r="J55" s="89"/>
      <c r="K55" s="89"/>
      <c r="L55" s="89"/>
      <c r="M55" s="89"/>
      <c r="N55" s="89"/>
      <c r="O55" s="89"/>
      <c r="P55" s="89"/>
      <c r="Q55" s="89"/>
      <c r="R55" s="89"/>
      <c r="S55" s="89"/>
      <c r="T55" s="89"/>
      <c r="U55" s="89"/>
      <c r="V55" s="89"/>
      <c r="W55" s="89"/>
      <c r="X55" s="89"/>
      <c r="Y55" s="496">
        <f t="shared" si="3"/>
        <v>0</v>
      </c>
    </row>
    <row r="56" spans="1:25" s="496" customFormat="1" ht="16.350000000000001" customHeight="1">
      <c r="A56" s="526">
        <f t="shared" si="2"/>
        <v>50</v>
      </c>
      <c r="B56" s="599" t="s">
        <v>1936</v>
      </c>
      <c r="C56" s="562" t="s">
        <v>162</v>
      </c>
      <c r="D56" s="90">
        <f>Subrates!D98</f>
        <v>271.68468641694011</v>
      </c>
      <c r="E56" s="55"/>
      <c r="F56" s="55"/>
      <c r="G56" s="55"/>
      <c r="H56" s="55"/>
      <c r="I56" s="55"/>
      <c r="J56" s="55"/>
      <c r="K56" s="55"/>
      <c r="L56" s="55"/>
      <c r="M56" s="55"/>
      <c r="N56" s="55"/>
      <c r="O56" s="55"/>
      <c r="P56" s="55"/>
      <c r="Q56" s="55"/>
      <c r="R56" s="55"/>
      <c r="S56" s="55"/>
      <c r="T56" s="55"/>
      <c r="U56" s="55"/>
      <c r="V56" s="55"/>
      <c r="W56" s="55"/>
      <c r="X56" s="55"/>
      <c r="Y56" s="496">
        <f t="shared" si="3"/>
        <v>0</v>
      </c>
    </row>
    <row r="57" spans="1:25" s="496" customFormat="1" ht="16.350000000000001" customHeight="1">
      <c r="A57" s="526">
        <f t="shared" si="2"/>
        <v>51</v>
      </c>
      <c r="B57" s="599" t="s">
        <v>259</v>
      </c>
      <c r="C57" s="562" t="s">
        <v>260</v>
      </c>
      <c r="D57" s="90">
        <f>Main!J128</f>
        <v>2255.9546194629665</v>
      </c>
      <c r="E57" s="55"/>
      <c r="F57" s="55"/>
      <c r="G57" s="55"/>
      <c r="H57" s="55"/>
      <c r="I57" s="55"/>
      <c r="J57" s="55"/>
      <c r="K57" s="55"/>
      <c r="L57" s="55"/>
      <c r="M57" s="55"/>
      <c r="N57" s="55"/>
      <c r="O57" s="55"/>
      <c r="P57" s="55"/>
      <c r="Q57" s="55"/>
      <c r="R57" s="55"/>
      <c r="S57" s="55"/>
      <c r="T57" s="55"/>
      <c r="U57" s="55"/>
      <c r="V57" s="55"/>
      <c r="W57" s="55"/>
      <c r="X57" s="55"/>
      <c r="Y57" s="496">
        <f t="shared" si="3"/>
        <v>0</v>
      </c>
    </row>
    <row r="58" spans="1:25" s="496" customFormat="1" ht="16.350000000000001" customHeight="1">
      <c r="A58" s="526">
        <f t="shared" si="2"/>
        <v>52</v>
      </c>
      <c r="B58" s="599" t="str">
        <f>Main!E123</f>
        <v>Small, Brick wall, Steel roof, Concrete floor, 1 floors</v>
      </c>
      <c r="C58" s="562" t="s">
        <v>88</v>
      </c>
      <c r="D58" s="90">
        <f>Main!J123</f>
        <v>119.70009858163799</v>
      </c>
      <c r="E58" s="55"/>
      <c r="F58" s="55"/>
      <c r="G58" s="55"/>
      <c r="H58" s="55"/>
      <c r="I58" s="55"/>
      <c r="J58" s="55"/>
      <c r="K58" s="55"/>
      <c r="L58" s="55"/>
      <c r="M58" s="55"/>
      <c r="N58" s="55"/>
      <c r="O58" s="55"/>
      <c r="P58" s="55"/>
      <c r="Q58" s="55"/>
      <c r="R58" s="55"/>
      <c r="S58" s="55"/>
      <c r="T58" s="55"/>
      <c r="U58" s="55"/>
      <c r="V58" s="55"/>
      <c r="W58" s="55"/>
      <c r="X58" s="55"/>
      <c r="Y58" s="496">
        <f t="shared" si="3"/>
        <v>0</v>
      </c>
    </row>
    <row r="59" spans="1:25" s="496" customFormat="1" ht="16.350000000000001" customHeight="1">
      <c r="A59" s="526">
        <f t="shared" si="2"/>
        <v>53</v>
      </c>
      <c r="B59" s="599" t="str">
        <f>Main!E124</f>
        <v>Large, Brick wall, Steel roof, Concrete floor, 1 floors</v>
      </c>
      <c r="C59" s="562" t="s">
        <v>88</v>
      </c>
      <c r="D59" s="90">
        <f>Main!J124</f>
        <v>71.125491669528984</v>
      </c>
      <c r="E59" s="55"/>
      <c r="F59" s="55"/>
      <c r="G59" s="55"/>
      <c r="H59" s="55"/>
      <c r="I59" s="55"/>
      <c r="J59" s="55"/>
      <c r="K59" s="55"/>
      <c r="L59" s="55"/>
      <c r="M59" s="55"/>
      <c r="N59" s="55"/>
      <c r="O59" s="55"/>
      <c r="P59" s="55"/>
      <c r="Q59" s="55"/>
      <c r="R59" s="55"/>
      <c r="S59" s="55"/>
      <c r="T59" s="55"/>
      <c r="U59" s="55"/>
      <c r="V59" s="55"/>
      <c r="W59" s="55"/>
      <c r="X59" s="55"/>
      <c r="Y59" s="496">
        <f t="shared" si="3"/>
        <v>0</v>
      </c>
    </row>
    <row r="60" spans="1:25" s="496" customFormat="1" ht="16.350000000000001" customHeight="1">
      <c r="A60" s="526">
        <f t="shared" si="2"/>
        <v>54</v>
      </c>
      <c r="B60" s="599" t="str">
        <f>Main!E125</f>
        <v>Large, Steel wall, Steel roof, Concrete floor, 1 floors</v>
      </c>
      <c r="C60" s="562" t="s">
        <v>88</v>
      </c>
      <c r="D60" s="90">
        <f>Main!J125</f>
        <v>76.221442191012642</v>
      </c>
      <c r="E60" s="55"/>
      <c r="F60" s="55"/>
      <c r="G60" s="55"/>
      <c r="H60" s="55"/>
      <c r="I60" s="55"/>
      <c r="J60" s="55"/>
      <c r="K60" s="55"/>
      <c r="L60" s="55"/>
      <c r="M60" s="55"/>
      <c r="N60" s="55"/>
      <c r="O60" s="55"/>
      <c r="P60" s="55"/>
      <c r="Q60" s="55"/>
      <c r="R60" s="55"/>
      <c r="S60" s="55"/>
      <c r="T60" s="55"/>
      <c r="U60" s="55"/>
      <c r="V60" s="55"/>
      <c r="W60" s="55"/>
      <c r="X60" s="55"/>
      <c r="Y60" s="496">
        <f t="shared" si="3"/>
        <v>0</v>
      </c>
    </row>
    <row r="61" spans="1:25" s="496" customFormat="1" ht="16.350000000000001" customHeight="1">
      <c r="A61" s="526">
        <f t="shared" si="2"/>
        <v>55</v>
      </c>
      <c r="B61" s="599" t="str">
        <f>Main!E126</f>
        <v>Small, Steel wall, Steel roof, Concrete floor, 1 floors</v>
      </c>
      <c r="C61" s="562" t="s">
        <v>88</v>
      </c>
      <c r="D61" s="90">
        <f>Main!J126</f>
        <v>127.70506187417257</v>
      </c>
      <c r="E61" s="55"/>
      <c r="F61" s="55"/>
      <c r="G61" s="55"/>
      <c r="H61" s="55"/>
      <c r="I61" s="55"/>
      <c r="J61" s="55"/>
      <c r="K61" s="55"/>
      <c r="L61" s="55"/>
      <c r="M61" s="55"/>
      <c r="N61" s="55"/>
      <c r="O61" s="55"/>
      <c r="P61" s="55"/>
      <c r="Q61" s="55"/>
      <c r="R61" s="55"/>
      <c r="S61" s="55"/>
      <c r="T61" s="55"/>
      <c r="U61" s="55"/>
      <c r="V61" s="55"/>
      <c r="W61" s="55"/>
      <c r="X61" s="55"/>
      <c r="Y61" s="496">
        <f t="shared" si="3"/>
        <v>0</v>
      </c>
    </row>
    <row r="62" spans="1:25" s="496" customFormat="1" ht="16.350000000000001" customHeight="1">
      <c r="A62" s="526">
        <f t="shared" si="2"/>
        <v>56</v>
      </c>
      <c r="B62" s="599" t="str">
        <f>Main!E127</f>
        <v>Small, Steel wall, Steel roof, Concrete floor, 2 floors</v>
      </c>
      <c r="C62" s="562" t="s">
        <v>88</v>
      </c>
      <c r="D62" s="90">
        <f>Main!J127</f>
        <v>135.91571014304981</v>
      </c>
      <c r="E62" s="55"/>
      <c r="F62" s="55"/>
      <c r="G62" s="55"/>
      <c r="H62" s="55"/>
      <c r="I62" s="55"/>
      <c r="J62" s="55"/>
      <c r="K62" s="55"/>
      <c r="L62" s="55"/>
      <c r="M62" s="55"/>
      <c r="N62" s="55"/>
      <c r="O62" s="55"/>
      <c r="P62" s="55"/>
      <c r="Q62" s="55"/>
      <c r="R62" s="55"/>
      <c r="S62" s="55"/>
      <c r="T62" s="55"/>
      <c r="U62" s="55"/>
      <c r="V62" s="55"/>
      <c r="W62" s="55"/>
      <c r="X62" s="55"/>
      <c r="Y62" s="496">
        <f t="shared" si="3"/>
        <v>0</v>
      </c>
    </row>
    <row r="63" spans="1:25" s="496" customFormat="1" ht="16.350000000000001" customHeight="1">
      <c r="A63" s="526">
        <f t="shared" si="2"/>
        <v>57</v>
      </c>
      <c r="B63" s="599" t="s">
        <v>118</v>
      </c>
      <c r="C63" s="562" t="s">
        <v>119</v>
      </c>
      <c r="D63" s="90">
        <f>Subrates!$D$38</f>
        <v>400.15945742176939</v>
      </c>
      <c r="E63" s="55"/>
      <c r="F63" s="55"/>
      <c r="G63" s="55"/>
      <c r="H63" s="55"/>
      <c r="I63" s="55"/>
      <c r="J63" s="55"/>
      <c r="K63" s="55"/>
      <c r="L63" s="55"/>
      <c r="M63" s="55"/>
      <c r="N63" s="55"/>
      <c r="O63" s="55"/>
      <c r="P63" s="55"/>
      <c r="Q63" s="55"/>
      <c r="R63" s="55"/>
      <c r="S63" s="55"/>
      <c r="T63" s="55"/>
      <c r="U63" s="55"/>
      <c r="V63" s="55"/>
      <c r="W63" s="55"/>
      <c r="X63" s="55"/>
      <c r="Y63" s="496">
        <f t="shared" si="3"/>
        <v>0</v>
      </c>
    </row>
    <row r="64" spans="1:25" s="496" customFormat="1" ht="16.350000000000001" customHeight="1">
      <c r="A64" s="526">
        <f t="shared" si="2"/>
        <v>58</v>
      </c>
      <c r="B64" s="599" t="s">
        <v>1937</v>
      </c>
      <c r="C64" s="562" t="s">
        <v>15</v>
      </c>
      <c r="D64" s="90">
        <f>Subrates!D11</f>
        <v>3.6040593856905492</v>
      </c>
      <c r="E64" s="55"/>
      <c r="F64" s="55"/>
      <c r="G64" s="55"/>
      <c r="H64" s="55"/>
      <c r="I64" s="55"/>
      <c r="J64" s="55"/>
      <c r="K64" s="55"/>
      <c r="L64" s="55"/>
      <c r="M64" s="55"/>
      <c r="N64" s="55"/>
      <c r="O64" s="55"/>
      <c r="P64" s="55"/>
      <c r="Q64" s="55"/>
      <c r="R64" s="55"/>
      <c r="S64" s="55"/>
      <c r="T64" s="55"/>
      <c r="U64" s="55"/>
      <c r="V64" s="55"/>
      <c r="W64" s="55"/>
      <c r="X64" s="55"/>
      <c r="Y64" s="496">
        <f t="shared" si="3"/>
        <v>0</v>
      </c>
    </row>
    <row r="65" spans="1:26" s="496" customFormat="1" ht="16.350000000000001" customHeight="1">
      <c r="A65" s="526">
        <f t="shared" si="2"/>
        <v>59</v>
      </c>
      <c r="B65" s="599" t="s">
        <v>1938</v>
      </c>
      <c r="C65" s="562" t="s">
        <v>119</v>
      </c>
      <c r="D65" s="90">
        <f>pasture</f>
        <v>1655.5</v>
      </c>
      <c r="E65" s="55"/>
      <c r="F65" s="55"/>
      <c r="G65" s="55"/>
      <c r="H65" s="55"/>
      <c r="I65" s="55"/>
      <c r="J65" s="55"/>
      <c r="K65" s="55"/>
      <c r="L65" s="55"/>
      <c r="M65" s="55"/>
      <c r="N65" s="55"/>
      <c r="O65" s="55"/>
      <c r="P65" s="55"/>
      <c r="Q65" s="55"/>
      <c r="R65" s="55"/>
      <c r="S65" s="55"/>
      <c r="T65" s="55"/>
      <c r="U65" s="55"/>
      <c r="V65" s="55"/>
      <c r="W65" s="55"/>
      <c r="X65" s="55"/>
      <c r="Y65" s="496">
        <f t="shared" si="3"/>
        <v>0</v>
      </c>
    </row>
    <row r="66" spans="1:26" s="496" customFormat="1" ht="16.350000000000001" customHeight="1">
      <c r="A66" s="526">
        <f t="shared" si="2"/>
        <v>60</v>
      </c>
      <c r="B66" s="599" t="s">
        <v>1939</v>
      </c>
      <c r="C66" s="562" t="s">
        <v>119</v>
      </c>
      <c r="D66" s="90">
        <f>native</f>
        <v>4196.5</v>
      </c>
      <c r="E66" s="55"/>
      <c r="F66" s="55"/>
      <c r="G66" s="55"/>
      <c r="H66" s="55"/>
      <c r="I66" s="55"/>
      <c r="J66" s="55"/>
      <c r="K66" s="55"/>
      <c r="L66" s="55"/>
      <c r="M66" s="55"/>
      <c r="N66" s="55"/>
      <c r="O66" s="55"/>
      <c r="P66" s="55"/>
      <c r="Q66" s="55"/>
      <c r="R66" s="55"/>
      <c r="S66" s="55"/>
      <c r="T66" s="55"/>
      <c r="U66" s="55"/>
      <c r="V66" s="55"/>
      <c r="W66" s="55"/>
      <c r="X66" s="55"/>
      <c r="Y66" s="496">
        <f t="shared" si="3"/>
        <v>0</v>
      </c>
    </row>
    <row r="67" spans="1:26" s="496" customFormat="1" ht="16.350000000000001" customHeight="1">
      <c r="A67" s="526">
        <f t="shared" si="2"/>
        <v>61</v>
      </c>
      <c r="B67" s="599" t="s">
        <v>1940</v>
      </c>
      <c r="C67" s="562" t="s">
        <v>119</v>
      </c>
      <c r="D67" s="90">
        <f>arid</f>
        <v>0</v>
      </c>
      <c r="E67" s="55"/>
      <c r="F67" s="55"/>
      <c r="G67" s="55"/>
      <c r="H67" s="55"/>
      <c r="I67" s="55"/>
      <c r="J67" s="55"/>
      <c r="K67" s="55"/>
      <c r="L67" s="55"/>
      <c r="M67" s="55"/>
      <c r="N67" s="55"/>
      <c r="O67" s="55"/>
      <c r="P67" s="55"/>
      <c r="Q67" s="55"/>
      <c r="R67" s="55"/>
      <c r="S67" s="55"/>
      <c r="T67" s="55"/>
      <c r="U67" s="55"/>
      <c r="V67" s="55"/>
      <c r="W67" s="55"/>
      <c r="X67" s="55"/>
      <c r="Y67" s="496">
        <f t="shared" si="3"/>
        <v>0</v>
      </c>
    </row>
    <row r="68" spans="1:26" s="496" customFormat="1">
      <c r="A68" s="526">
        <f>A67+1</f>
        <v>62</v>
      </c>
      <c r="B68" s="599" t="s">
        <v>1941</v>
      </c>
      <c r="C68" s="562" t="s">
        <v>1942</v>
      </c>
      <c r="D68" s="90">
        <f>Inv_Activities_lump</f>
        <v>35075.581888424982</v>
      </c>
      <c r="E68" s="55"/>
      <c r="F68" s="55"/>
      <c r="G68" s="55"/>
      <c r="H68" s="55"/>
      <c r="I68" s="55"/>
      <c r="J68" s="55"/>
      <c r="K68" s="55"/>
      <c r="L68" s="55"/>
      <c r="M68" s="55"/>
      <c r="N68" s="55"/>
      <c r="O68" s="55"/>
      <c r="P68" s="55"/>
      <c r="Q68" s="55"/>
      <c r="R68" s="55"/>
      <c r="S68" s="55"/>
      <c r="T68" s="55"/>
      <c r="U68" s="55"/>
      <c r="V68" s="55"/>
      <c r="W68" s="55"/>
      <c r="X68" s="55"/>
      <c r="Y68" s="496">
        <f t="shared" si="3"/>
        <v>0</v>
      </c>
    </row>
    <row r="69" spans="1:26" s="496" customFormat="1">
      <c r="A69" s="526">
        <f t="shared" si="2"/>
        <v>63</v>
      </c>
      <c r="B69" s="599" t="s">
        <v>1943</v>
      </c>
      <c r="C69" s="562" t="s">
        <v>119</v>
      </c>
      <c r="D69" s="90">
        <f>Inv_Activities_area</f>
        <v>3920.7764895466953</v>
      </c>
      <c r="E69" s="55"/>
      <c r="F69" s="55"/>
      <c r="G69" s="55"/>
      <c r="H69" s="55"/>
      <c r="I69" s="55"/>
      <c r="J69" s="55"/>
      <c r="K69" s="55"/>
      <c r="L69" s="55"/>
      <c r="M69" s="55"/>
      <c r="N69" s="55"/>
      <c r="O69" s="55"/>
      <c r="P69" s="55"/>
      <c r="Q69" s="55"/>
      <c r="R69" s="55"/>
      <c r="S69" s="55"/>
      <c r="T69" s="55"/>
      <c r="U69" s="55"/>
      <c r="V69" s="55"/>
      <c r="W69" s="55"/>
      <c r="X69" s="55"/>
      <c r="Y69" s="496">
        <f t="shared" si="3"/>
        <v>0</v>
      </c>
    </row>
    <row r="70" spans="1:26" s="496" customFormat="1">
      <c r="A70" s="526">
        <f t="shared" si="2"/>
        <v>64</v>
      </c>
      <c r="B70" s="140" t="s">
        <v>1944</v>
      </c>
      <c r="C70" s="604"/>
      <c r="D70" s="605"/>
      <c r="E70" s="55"/>
      <c r="F70" s="55"/>
      <c r="G70" s="55"/>
      <c r="H70" s="55"/>
      <c r="I70" s="55"/>
      <c r="J70" s="55"/>
      <c r="K70" s="55"/>
      <c r="L70" s="55"/>
      <c r="M70" s="55"/>
      <c r="N70" s="55"/>
      <c r="O70" s="55"/>
      <c r="P70" s="55"/>
      <c r="Q70" s="55"/>
      <c r="R70" s="55"/>
      <c r="S70" s="55"/>
      <c r="T70" s="55"/>
      <c r="U70" s="55"/>
      <c r="V70" s="55"/>
      <c r="W70" s="55"/>
      <c r="X70" s="55"/>
      <c r="Y70" s="496">
        <f t="shared" si="3"/>
        <v>0</v>
      </c>
    </row>
    <row r="71" spans="1:26" s="496" customFormat="1">
      <c r="A71" s="526">
        <f t="shared" si="2"/>
        <v>65</v>
      </c>
      <c r="B71" s="140" t="s">
        <v>1944</v>
      </c>
      <c r="C71" s="604"/>
      <c r="D71" s="605"/>
      <c r="E71" s="55"/>
      <c r="F71" s="55"/>
      <c r="G71" s="55"/>
      <c r="H71" s="55"/>
      <c r="I71" s="55"/>
      <c r="J71" s="55"/>
      <c r="K71" s="55"/>
      <c r="L71" s="55"/>
      <c r="M71" s="55"/>
      <c r="N71" s="55"/>
      <c r="O71" s="55"/>
      <c r="P71" s="55"/>
      <c r="Q71" s="55"/>
      <c r="R71" s="55"/>
      <c r="S71" s="55"/>
      <c r="T71" s="55"/>
      <c r="U71" s="55"/>
      <c r="V71" s="55"/>
      <c r="W71" s="55"/>
      <c r="X71" s="55"/>
      <c r="Y71" s="496">
        <f t="shared" si="3"/>
        <v>0</v>
      </c>
    </row>
    <row r="72" spans="1:26" s="496" customFormat="1">
      <c r="A72" s="526">
        <f t="shared" si="2"/>
        <v>66</v>
      </c>
      <c r="B72" s="140" t="s">
        <v>1944</v>
      </c>
      <c r="C72" s="604"/>
      <c r="D72" s="605"/>
      <c r="E72" s="55"/>
      <c r="F72" s="55"/>
      <c r="G72" s="55"/>
      <c r="H72" s="55"/>
      <c r="I72" s="55"/>
      <c r="J72" s="55"/>
      <c r="K72" s="55"/>
      <c r="L72" s="55"/>
      <c r="M72" s="55"/>
      <c r="N72" s="55"/>
      <c r="O72" s="55"/>
      <c r="P72" s="55"/>
      <c r="Q72" s="55"/>
      <c r="R72" s="55"/>
      <c r="S72" s="55"/>
      <c r="T72" s="55"/>
      <c r="U72" s="55"/>
      <c r="V72" s="55"/>
      <c r="W72" s="55"/>
      <c r="X72" s="55"/>
      <c r="Y72" s="496">
        <f t="shared" si="3"/>
        <v>0</v>
      </c>
    </row>
    <row r="73" spans="1:26" s="496" customFormat="1">
      <c r="A73" s="526">
        <f t="shared" si="2"/>
        <v>67</v>
      </c>
      <c r="B73" s="140" t="s">
        <v>1944</v>
      </c>
      <c r="C73" s="604"/>
      <c r="D73" s="605"/>
      <c r="E73" s="55"/>
      <c r="F73" s="55"/>
      <c r="G73" s="55"/>
      <c r="H73" s="55"/>
      <c r="I73" s="55"/>
      <c r="J73" s="55"/>
      <c r="K73" s="55"/>
      <c r="L73" s="55"/>
      <c r="M73" s="55"/>
      <c r="N73" s="55"/>
      <c r="O73" s="55"/>
      <c r="P73" s="55"/>
      <c r="Q73" s="55"/>
      <c r="R73" s="55"/>
      <c r="S73" s="55"/>
      <c r="T73" s="55"/>
      <c r="U73" s="55"/>
      <c r="V73" s="55"/>
      <c r="W73" s="55"/>
      <c r="X73" s="55"/>
      <c r="Y73" s="496">
        <f t="shared" si="3"/>
        <v>0</v>
      </c>
    </row>
    <row r="74" spans="1:26" s="496" customFormat="1">
      <c r="A74" s="526">
        <f t="shared" ref="A74:A77" si="4">A73+1</f>
        <v>68</v>
      </c>
      <c r="B74" s="140" t="s">
        <v>1944</v>
      </c>
      <c r="C74" s="604"/>
      <c r="D74" s="605"/>
      <c r="E74" s="55"/>
      <c r="F74" s="55"/>
      <c r="G74" s="55"/>
      <c r="H74" s="55"/>
      <c r="I74" s="55"/>
      <c r="J74" s="55"/>
      <c r="K74" s="55"/>
      <c r="L74" s="55"/>
      <c r="M74" s="55"/>
      <c r="N74" s="55"/>
      <c r="O74" s="55"/>
      <c r="P74" s="55"/>
      <c r="Q74" s="55"/>
      <c r="R74" s="55"/>
      <c r="S74" s="55"/>
      <c r="T74" s="55"/>
      <c r="U74" s="55"/>
      <c r="V74" s="55"/>
      <c r="W74" s="55"/>
      <c r="X74" s="55"/>
      <c r="Y74" s="496">
        <f t="shared" si="3"/>
        <v>0</v>
      </c>
    </row>
    <row r="75" spans="1:26" s="496" customFormat="1">
      <c r="A75" s="526">
        <f t="shared" si="4"/>
        <v>69</v>
      </c>
      <c r="B75" s="140" t="s">
        <v>1944</v>
      </c>
      <c r="C75" s="604"/>
      <c r="D75" s="605"/>
      <c r="E75" s="55"/>
      <c r="F75" s="55"/>
      <c r="G75" s="55"/>
      <c r="H75" s="55"/>
      <c r="I75" s="55"/>
      <c r="J75" s="55"/>
      <c r="K75" s="55"/>
      <c r="L75" s="55"/>
      <c r="M75" s="55"/>
      <c r="N75" s="55"/>
      <c r="O75" s="55"/>
      <c r="P75" s="55"/>
      <c r="Q75" s="55"/>
      <c r="R75" s="55"/>
      <c r="S75" s="55"/>
      <c r="T75" s="55"/>
      <c r="U75" s="55"/>
      <c r="V75" s="55"/>
      <c r="W75" s="55"/>
      <c r="X75" s="55"/>
      <c r="Y75" s="496">
        <f t="shared" si="3"/>
        <v>0</v>
      </c>
    </row>
    <row r="76" spans="1:26" s="496" customFormat="1">
      <c r="A76" s="526">
        <f t="shared" si="4"/>
        <v>70</v>
      </c>
      <c r="B76" s="140" t="s">
        <v>1944</v>
      </c>
      <c r="C76" s="604"/>
      <c r="D76" s="605"/>
      <c r="E76" s="55"/>
      <c r="F76" s="55"/>
      <c r="G76" s="55"/>
      <c r="H76" s="55"/>
      <c r="I76" s="55"/>
      <c r="J76" s="55"/>
      <c r="K76" s="55"/>
      <c r="L76" s="55"/>
      <c r="M76" s="55"/>
      <c r="N76" s="55"/>
      <c r="O76" s="55"/>
      <c r="P76" s="55"/>
      <c r="Q76" s="55"/>
      <c r="R76" s="55"/>
      <c r="S76" s="55"/>
      <c r="T76" s="55"/>
      <c r="U76" s="55"/>
      <c r="V76" s="55"/>
      <c r="W76" s="55"/>
      <c r="X76" s="55"/>
      <c r="Y76" s="496">
        <f t="shared" si="3"/>
        <v>0</v>
      </c>
    </row>
    <row r="77" spans="1:26" s="496" customFormat="1">
      <c r="A77" s="526">
        <f t="shared" si="4"/>
        <v>71</v>
      </c>
      <c r="B77" s="140" t="s">
        <v>1944</v>
      </c>
      <c r="C77" s="604"/>
      <c r="D77" s="605"/>
      <c r="E77" s="55"/>
      <c r="F77" s="55"/>
      <c r="G77" s="55"/>
      <c r="H77" s="55"/>
      <c r="I77" s="55"/>
      <c r="J77" s="55"/>
      <c r="K77" s="55"/>
      <c r="L77" s="55"/>
      <c r="M77" s="55"/>
      <c r="N77" s="55"/>
      <c r="O77" s="55"/>
      <c r="P77" s="55"/>
      <c r="Q77" s="55"/>
      <c r="R77" s="55"/>
      <c r="S77" s="55"/>
      <c r="T77" s="55"/>
      <c r="U77" s="55"/>
      <c r="V77" s="55"/>
      <c r="W77" s="55"/>
      <c r="X77" s="55"/>
      <c r="Y77" s="496">
        <f t="shared" si="3"/>
        <v>0</v>
      </c>
    </row>
    <row r="78" spans="1:26" ht="16.350000000000001" customHeight="1">
      <c r="E78" s="6"/>
      <c r="F78" s="6"/>
      <c r="G78" s="6"/>
      <c r="H78" s="6"/>
      <c r="I78" s="6"/>
      <c r="J78" s="6"/>
      <c r="K78" s="6"/>
      <c r="L78" s="6"/>
      <c r="M78" s="6"/>
      <c r="N78" s="6"/>
      <c r="O78" s="6"/>
      <c r="P78" s="6"/>
      <c r="Q78" s="6"/>
      <c r="R78" s="6"/>
      <c r="S78" s="6"/>
      <c r="T78" s="6"/>
      <c r="U78" s="6"/>
      <c r="V78" s="6"/>
      <c r="W78" s="6"/>
      <c r="X78" s="6"/>
      <c r="Y78" s="494">
        <f t="shared" si="3"/>
        <v>0</v>
      </c>
      <c r="Z78" s="494"/>
    </row>
    <row r="79" spans="1:26" s="496" customFormat="1" ht="16.350000000000001" customHeight="1">
      <c r="B79" s="600" t="s">
        <v>108</v>
      </c>
      <c r="C79" s="530"/>
      <c r="D79" s="530"/>
      <c r="E79" s="530"/>
      <c r="F79" s="530"/>
      <c r="G79" s="530"/>
      <c r="H79" s="530"/>
      <c r="I79" s="530"/>
      <c r="J79" s="530"/>
      <c r="K79" s="530"/>
      <c r="L79" s="530"/>
      <c r="M79" s="530"/>
      <c r="N79" s="530"/>
      <c r="O79" s="530"/>
      <c r="P79" s="530"/>
      <c r="Q79" s="530"/>
      <c r="R79" s="530"/>
      <c r="S79" s="530"/>
      <c r="T79" s="530"/>
      <c r="U79" s="530"/>
      <c r="V79" s="530"/>
      <c r="W79" s="530"/>
      <c r="X79" s="530"/>
    </row>
    <row r="80" spans="1:26" s="496" customFormat="1" ht="16.350000000000001" customHeight="1">
      <c r="A80" s="526"/>
      <c r="B80" s="599" t="s">
        <v>1945</v>
      </c>
      <c r="C80" s="530"/>
      <c r="D80" s="530"/>
      <c r="E80" s="90">
        <f t="shared" ref="E80:X80" si="5">SUMPRODUCT($D7:$D48,E7:E48)+$D55*E55+E56*$D56</f>
        <v>0</v>
      </c>
      <c r="F80" s="90">
        <f t="shared" si="5"/>
        <v>0</v>
      </c>
      <c r="G80" s="90">
        <f t="shared" si="5"/>
        <v>0</v>
      </c>
      <c r="H80" s="90">
        <f t="shared" si="5"/>
        <v>0</v>
      </c>
      <c r="I80" s="90">
        <f t="shared" si="5"/>
        <v>0</v>
      </c>
      <c r="J80" s="90">
        <f t="shared" si="5"/>
        <v>0</v>
      </c>
      <c r="K80" s="90">
        <f t="shared" si="5"/>
        <v>0</v>
      </c>
      <c r="L80" s="90">
        <f t="shared" si="5"/>
        <v>0</v>
      </c>
      <c r="M80" s="90">
        <f t="shared" si="5"/>
        <v>0</v>
      </c>
      <c r="N80" s="90">
        <f t="shared" si="5"/>
        <v>0</v>
      </c>
      <c r="O80" s="90">
        <f t="shared" si="5"/>
        <v>0</v>
      </c>
      <c r="P80" s="90">
        <f t="shared" si="5"/>
        <v>0</v>
      </c>
      <c r="Q80" s="90">
        <f t="shared" si="5"/>
        <v>0</v>
      </c>
      <c r="R80" s="90">
        <f t="shared" si="5"/>
        <v>0</v>
      </c>
      <c r="S80" s="90">
        <f t="shared" si="5"/>
        <v>0</v>
      </c>
      <c r="T80" s="90">
        <f t="shared" si="5"/>
        <v>0</v>
      </c>
      <c r="U80" s="90">
        <f t="shared" si="5"/>
        <v>0</v>
      </c>
      <c r="V80" s="90">
        <f t="shared" si="5"/>
        <v>0</v>
      </c>
      <c r="W80" s="90">
        <f t="shared" si="5"/>
        <v>0</v>
      </c>
      <c r="X80" s="90">
        <f t="shared" si="5"/>
        <v>0</v>
      </c>
    </row>
    <row r="81" spans="1:26" s="496" customFormat="1" ht="16.350000000000001" customHeight="1">
      <c r="A81" s="526"/>
      <c r="B81" s="599" t="s">
        <v>1946</v>
      </c>
      <c r="C81" s="530"/>
      <c r="D81" s="530"/>
      <c r="E81" s="90">
        <f t="shared" ref="E81:X81" si="6">SUMPRODUCT(E49:E52,$D49:$D52)</f>
        <v>0</v>
      </c>
      <c r="F81" s="90">
        <f t="shared" si="6"/>
        <v>0</v>
      </c>
      <c r="G81" s="90">
        <f t="shared" si="6"/>
        <v>0</v>
      </c>
      <c r="H81" s="90">
        <f t="shared" si="6"/>
        <v>0</v>
      </c>
      <c r="I81" s="90">
        <f t="shared" si="6"/>
        <v>0</v>
      </c>
      <c r="J81" s="90">
        <f t="shared" si="6"/>
        <v>0</v>
      </c>
      <c r="K81" s="90">
        <f t="shared" si="6"/>
        <v>0</v>
      </c>
      <c r="L81" s="90">
        <f t="shared" si="6"/>
        <v>0</v>
      </c>
      <c r="M81" s="90">
        <f t="shared" si="6"/>
        <v>0</v>
      </c>
      <c r="N81" s="90">
        <f t="shared" si="6"/>
        <v>0</v>
      </c>
      <c r="O81" s="90">
        <f t="shared" si="6"/>
        <v>0</v>
      </c>
      <c r="P81" s="90">
        <f t="shared" si="6"/>
        <v>0</v>
      </c>
      <c r="Q81" s="90">
        <f t="shared" si="6"/>
        <v>0</v>
      </c>
      <c r="R81" s="90">
        <f t="shared" si="6"/>
        <v>0</v>
      </c>
      <c r="S81" s="90">
        <f t="shared" si="6"/>
        <v>0</v>
      </c>
      <c r="T81" s="90">
        <f t="shared" si="6"/>
        <v>0</v>
      </c>
      <c r="U81" s="90">
        <f t="shared" si="6"/>
        <v>0</v>
      </c>
      <c r="V81" s="90">
        <f t="shared" si="6"/>
        <v>0</v>
      </c>
      <c r="W81" s="90">
        <f t="shared" si="6"/>
        <v>0</v>
      </c>
      <c r="X81" s="90">
        <f t="shared" si="6"/>
        <v>0</v>
      </c>
    </row>
    <row r="82" spans="1:26" s="496" customFormat="1" ht="16.350000000000001" customHeight="1">
      <c r="A82" s="526"/>
      <c r="B82" s="599" t="s">
        <v>1947</v>
      </c>
      <c r="C82" s="530"/>
      <c r="D82" s="530"/>
      <c r="E82" s="90">
        <f t="shared" ref="E82:X82" si="7">SUMPRODUCT(E53:E54,$D53:$D54)</f>
        <v>0</v>
      </c>
      <c r="F82" s="90">
        <f t="shared" si="7"/>
        <v>0</v>
      </c>
      <c r="G82" s="90">
        <f t="shared" si="7"/>
        <v>0</v>
      </c>
      <c r="H82" s="90">
        <f t="shared" si="7"/>
        <v>0</v>
      </c>
      <c r="I82" s="90">
        <f t="shared" si="7"/>
        <v>0</v>
      </c>
      <c r="J82" s="90">
        <f t="shared" si="7"/>
        <v>0</v>
      </c>
      <c r="K82" s="90">
        <f t="shared" si="7"/>
        <v>0</v>
      </c>
      <c r="L82" s="90">
        <f t="shared" si="7"/>
        <v>0</v>
      </c>
      <c r="M82" s="90">
        <f t="shared" si="7"/>
        <v>0</v>
      </c>
      <c r="N82" s="90">
        <f t="shared" si="7"/>
        <v>0</v>
      </c>
      <c r="O82" s="90">
        <f t="shared" si="7"/>
        <v>0</v>
      </c>
      <c r="P82" s="90">
        <f t="shared" si="7"/>
        <v>0</v>
      </c>
      <c r="Q82" s="90">
        <f t="shared" si="7"/>
        <v>0</v>
      </c>
      <c r="R82" s="90">
        <f t="shared" si="7"/>
        <v>0</v>
      </c>
      <c r="S82" s="90">
        <f t="shared" si="7"/>
        <v>0</v>
      </c>
      <c r="T82" s="90">
        <f t="shared" si="7"/>
        <v>0</v>
      </c>
      <c r="U82" s="90">
        <f t="shared" si="7"/>
        <v>0</v>
      </c>
      <c r="V82" s="90">
        <f t="shared" si="7"/>
        <v>0</v>
      </c>
      <c r="W82" s="90">
        <f t="shared" si="7"/>
        <v>0</v>
      </c>
      <c r="X82" s="90">
        <f t="shared" si="7"/>
        <v>0</v>
      </c>
    </row>
    <row r="83" spans="1:26" s="496" customFormat="1" ht="16.350000000000001" customHeight="1">
      <c r="A83" s="526"/>
      <c r="B83" s="599" t="s">
        <v>1948</v>
      </c>
      <c r="C83" s="530"/>
      <c r="D83" s="530"/>
      <c r="E83" s="90">
        <f t="shared" ref="E83:X83" si="8">E57*$D57</f>
        <v>0</v>
      </c>
      <c r="F83" s="90">
        <f t="shared" si="8"/>
        <v>0</v>
      </c>
      <c r="G83" s="90">
        <f t="shared" si="8"/>
        <v>0</v>
      </c>
      <c r="H83" s="90">
        <f t="shared" si="8"/>
        <v>0</v>
      </c>
      <c r="I83" s="90">
        <f t="shared" si="8"/>
        <v>0</v>
      </c>
      <c r="J83" s="90">
        <f t="shared" si="8"/>
        <v>0</v>
      </c>
      <c r="K83" s="90">
        <f t="shared" si="8"/>
        <v>0</v>
      </c>
      <c r="L83" s="90">
        <f t="shared" si="8"/>
        <v>0</v>
      </c>
      <c r="M83" s="90">
        <f t="shared" si="8"/>
        <v>0</v>
      </c>
      <c r="N83" s="90">
        <f t="shared" si="8"/>
        <v>0</v>
      </c>
      <c r="O83" s="90">
        <f t="shared" si="8"/>
        <v>0</v>
      </c>
      <c r="P83" s="90">
        <f t="shared" si="8"/>
        <v>0</v>
      </c>
      <c r="Q83" s="90">
        <f t="shared" si="8"/>
        <v>0</v>
      </c>
      <c r="R83" s="90">
        <f t="shared" si="8"/>
        <v>0</v>
      </c>
      <c r="S83" s="90">
        <f t="shared" si="8"/>
        <v>0</v>
      </c>
      <c r="T83" s="90">
        <f t="shared" si="8"/>
        <v>0</v>
      </c>
      <c r="U83" s="90">
        <f t="shared" si="8"/>
        <v>0</v>
      </c>
      <c r="V83" s="90">
        <f t="shared" si="8"/>
        <v>0</v>
      </c>
      <c r="W83" s="90">
        <f t="shared" si="8"/>
        <v>0</v>
      </c>
      <c r="X83" s="90">
        <f t="shared" si="8"/>
        <v>0</v>
      </c>
    </row>
    <row r="84" spans="1:26" s="496" customFormat="1" ht="16.350000000000001" customHeight="1">
      <c r="A84" s="526"/>
      <c r="B84" s="599" t="s">
        <v>1949</v>
      </c>
      <c r="C84" s="530"/>
      <c r="D84" s="530"/>
      <c r="E84" s="90">
        <f t="shared" ref="E84:X84" si="9">SUMPRODUCT(E58:E62,$D58:$D62)</f>
        <v>0</v>
      </c>
      <c r="F84" s="90">
        <f t="shared" si="9"/>
        <v>0</v>
      </c>
      <c r="G84" s="90">
        <f t="shared" si="9"/>
        <v>0</v>
      </c>
      <c r="H84" s="90">
        <f t="shared" si="9"/>
        <v>0</v>
      </c>
      <c r="I84" s="90">
        <f t="shared" si="9"/>
        <v>0</v>
      </c>
      <c r="J84" s="90">
        <f t="shared" si="9"/>
        <v>0</v>
      </c>
      <c r="K84" s="90">
        <f t="shared" si="9"/>
        <v>0</v>
      </c>
      <c r="L84" s="90">
        <f t="shared" si="9"/>
        <v>0</v>
      </c>
      <c r="M84" s="90">
        <f t="shared" si="9"/>
        <v>0</v>
      </c>
      <c r="N84" s="90">
        <f t="shared" si="9"/>
        <v>0</v>
      </c>
      <c r="O84" s="90">
        <f t="shared" si="9"/>
        <v>0</v>
      </c>
      <c r="P84" s="90">
        <f t="shared" si="9"/>
        <v>0</v>
      </c>
      <c r="Q84" s="90">
        <f t="shared" si="9"/>
        <v>0</v>
      </c>
      <c r="R84" s="90">
        <f t="shared" si="9"/>
        <v>0</v>
      </c>
      <c r="S84" s="90">
        <f t="shared" si="9"/>
        <v>0</v>
      </c>
      <c r="T84" s="90">
        <f t="shared" si="9"/>
        <v>0</v>
      </c>
      <c r="U84" s="90">
        <f t="shared" si="9"/>
        <v>0</v>
      </c>
      <c r="V84" s="90">
        <f t="shared" si="9"/>
        <v>0</v>
      </c>
      <c r="W84" s="90">
        <f t="shared" si="9"/>
        <v>0</v>
      </c>
      <c r="X84" s="90">
        <f t="shared" si="9"/>
        <v>0</v>
      </c>
    </row>
    <row r="85" spans="1:26" s="496" customFormat="1" ht="16.350000000000001" customHeight="1">
      <c r="A85" s="526"/>
      <c r="B85" s="599" t="s">
        <v>1950</v>
      </c>
      <c r="C85" s="530"/>
      <c r="D85" s="530"/>
      <c r="E85" s="90">
        <f t="shared" ref="E85:X85" si="10">E63*$D63</f>
        <v>0</v>
      </c>
      <c r="F85" s="90">
        <f t="shared" si="10"/>
        <v>0</v>
      </c>
      <c r="G85" s="90">
        <f t="shared" si="10"/>
        <v>0</v>
      </c>
      <c r="H85" s="90">
        <f t="shared" si="10"/>
        <v>0</v>
      </c>
      <c r="I85" s="90">
        <f t="shared" si="10"/>
        <v>0</v>
      </c>
      <c r="J85" s="90">
        <f t="shared" si="10"/>
        <v>0</v>
      </c>
      <c r="K85" s="90">
        <f t="shared" si="10"/>
        <v>0</v>
      </c>
      <c r="L85" s="90">
        <f t="shared" si="10"/>
        <v>0</v>
      </c>
      <c r="M85" s="90">
        <f t="shared" si="10"/>
        <v>0</v>
      </c>
      <c r="N85" s="90">
        <f t="shared" si="10"/>
        <v>0</v>
      </c>
      <c r="O85" s="90">
        <f t="shared" si="10"/>
        <v>0</v>
      </c>
      <c r="P85" s="90">
        <f t="shared" si="10"/>
        <v>0</v>
      </c>
      <c r="Q85" s="90">
        <f t="shared" si="10"/>
        <v>0</v>
      </c>
      <c r="R85" s="90">
        <f t="shared" si="10"/>
        <v>0</v>
      </c>
      <c r="S85" s="90">
        <f t="shared" si="10"/>
        <v>0</v>
      </c>
      <c r="T85" s="90">
        <f t="shared" si="10"/>
        <v>0</v>
      </c>
      <c r="U85" s="90">
        <f t="shared" si="10"/>
        <v>0</v>
      </c>
      <c r="V85" s="90">
        <f t="shared" si="10"/>
        <v>0</v>
      </c>
      <c r="W85" s="90">
        <f t="shared" si="10"/>
        <v>0</v>
      </c>
      <c r="X85" s="90">
        <f t="shared" si="10"/>
        <v>0</v>
      </c>
    </row>
    <row r="86" spans="1:26" s="496" customFormat="1" ht="16.350000000000001" customHeight="1">
      <c r="A86" s="526"/>
      <c r="B86" s="599" t="s">
        <v>1951</v>
      </c>
      <c r="C86" s="530"/>
      <c r="D86" s="530"/>
      <c r="E86" s="90">
        <f t="shared" ref="E86:X86" si="11">E64*$D64</f>
        <v>0</v>
      </c>
      <c r="F86" s="90">
        <f t="shared" si="11"/>
        <v>0</v>
      </c>
      <c r="G86" s="90">
        <f t="shared" si="11"/>
        <v>0</v>
      </c>
      <c r="H86" s="90">
        <f t="shared" si="11"/>
        <v>0</v>
      </c>
      <c r="I86" s="90">
        <f t="shared" si="11"/>
        <v>0</v>
      </c>
      <c r="J86" s="90">
        <f t="shared" si="11"/>
        <v>0</v>
      </c>
      <c r="K86" s="90">
        <f t="shared" si="11"/>
        <v>0</v>
      </c>
      <c r="L86" s="90">
        <f t="shared" si="11"/>
        <v>0</v>
      </c>
      <c r="M86" s="90">
        <f t="shared" si="11"/>
        <v>0</v>
      </c>
      <c r="N86" s="90">
        <f t="shared" si="11"/>
        <v>0</v>
      </c>
      <c r="O86" s="90">
        <f t="shared" si="11"/>
        <v>0</v>
      </c>
      <c r="P86" s="90">
        <f t="shared" si="11"/>
        <v>0</v>
      </c>
      <c r="Q86" s="90">
        <f t="shared" si="11"/>
        <v>0</v>
      </c>
      <c r="R86" s="90">
        <f t="shared" si="11"/>
        <v>0</v>
      </c>
      <c r="S86" s="90">
        <f t="shared" si="11"/>
        <v>0</v>
      </c>
      <c r="T86" s="90">
        <f t="shared" si="11"/>
        <v>0</v>
      </c>
      <c r="U86" s="90">
        <f t="shared" si="11"/>
        <v>0</v>
      </c>
      <c r="V86" s="90">
        <f t="shared" si="11"/>
        <v>0</v>
      </c>
      <c r="W86" s="90">
        <f t="shared" si="11"/>
        <v>0</v>
      </c>
      <c r="X86" s="90">
        <f t="shared" si="11"/>
        <v>0</v>
      </c>
    </row>
    <row r="87" spans="1:26" s="496" customFormat="1" ht="16.350000000000001" customHeight="1">
      <c r="A87" s="526"/>
      <c r="B87" s="599" t="s">
        <v>141</v>
      </c>
      <c r="C87" s="530"/>
      <c r="D87" s="530"/>
      <c r="E87" s="90">
        <f t="shared" ref="E87:R87" si="12">E65*$D65+E66*$D66</f>
        <v>0</v>
      </c>
      <c r="F87" s="90">
        <f t="shared" si="12"/>
        <v>0</v>
      </c>
      <c r="G87" s="90">
        <f t="shared" si="12"/>
        <v>0</v>
      </c>
      <c r="H87" s="90">
        <f t="shared" si="12"/>
        <v>0</v>
      </c>
      <c r="I87" s="90">
        <f t="shared" si="12"/>
        <v>0</v>
      </c>
      <c r="J87" s="90">
        <f t="shared" si="12"/>
        <v>0</v>
      </c>
      <c r="K87" s="90">
        <f t="shared" si="12"/>
        <v>0</v>
      </c>
      <c r="L87" s="90">
        <f t="shared" si="12"/>
        <v>0</v>
      </c>
      <c r="M87" s="90">
        <f t="shared" si="12"/>
        <v>0</v>
      </c>
      <c r="N87" s="90">
        <f t="shared" si="12"/>
        <v>0</v>
      </c>
      <c r="O87" s="90">
        <f t="shared" si="12"/>
        <v>0</v>
      </c>
      <c r="P87" s="90">
        <f t="shared" si="12"/>
        <v>0</v>
      </c>
      <c r="Q87" s="90">
        <f t="shared" si="12"/>
        <v>0</v>
      </c>
      <c r="R87" s="90">
        <f t="shared" si="12"/>
        <v>0</v>
      </c>
      <c r="S87" s="90">
        <f t="shared" ref="S87:X87" si="13">S65*$D65+S66*$D66</f>
        <v>0</v>
      </c>
      <c r="T87" s="90">
        <f t="shared" si="13"/>
        <v>0</v>
      </c>
      <c r="U87" s="90">
        <f t="shared" si="13"/>
        <v>0</v>
      </c>
      <c r="V87" s="90">
        <f t="shared" si="13"/>
        <v>0</v>
      </c>
      <c r="W87" s="90">
        <f t="shared" si="13"/>
        <v>0</v>
      </c>
      <c r="X87" s="90">
        <f t="shared" si="13"/>
        <v>0</v>
      </c>
    </row>
    <row r="88" spans="1:26" s="496" customFormat="1" ht="16.350000000000001" customHeight="1">
      <c r="A88" s="526"/>
      <c r="B88" s="599" t="s">
        <v>1952</v>
      </c>
      <c r="C88" s="530"/>
      <c r="D88" s="530"/>
      <c r="E88" s="90">
        <f>E68*$D68+E69*$D69</f>
        <v>0</v>
      </c>
      <c r="F88" s="90">
        <f t="shared" ref="F88:X88" si="14">F68*$D68+F69*$D69</f>
        <v>0</v>
      </c>
      <c r="G88" s="90">
        <f t="shared" si="14"/>
        <v>0</v>
      </c>
      <c r="H88" s="90">
        <f t="shared" si="14"/>
        <v>0</v>
      </c>
      <c r="I88" s="90">
        <f t="shared" si="14"/>
        <v>0</v>
      </c>
      <c r="J88" s="90">
        <f t="shared" si="14"/>
        <v>0</v>
      </c>
      <c r="K88" s="90">
        <f t="shared" si="14"/>
        <v>0</v>
      </c>
      <c r="L88" s="90">
        <f t="shared" si="14"/>
        <v>0</v>
      </c>
      <c r="M88" s="90">
        <f t="shared" si="14"/>
        <v>0</v>
      </c>
      <c r="N88" s="90">
        <f t="shared" si="14"/>
        <v>0</v>
      </c>
      <c r="O88" s="90">
        <f t="shared" si="14"/>
        <v>0</v>
      </c>
      <c r="P88" s="90">
        <f t="shared" si="14"/>
        <v>0</v>
      </c>
      <c r="Q88" s="90">
        <f t="shared" si="14"/>
        <v>0</v>
      </c>
      <c r="R88" s="90">
        <f t="shared" si="14"/>
        <v>0</v>
      </c>
      <c r="S88" s="90">
        <f t="shared" si="14"/>
        <v>0</v>
      </c>
      <c r="T88" s="90">
        <f t="shared" si="14"/>
        <v>0</v>
      </c>
      <c r="U88" s="90">
        <f t="shared" si="14"/>
        <v>0</v>
      </c>
      <c r="V88" s="90">
        <f t="shared" si="14"/>
        <v>0</v>
      </c>
      <c r="W88" s="90">
        <f t="shared" si="14"/>
        <v>0</v>
      </c>
      <c r="X88" s="90">
        <f t="shared" si="14"/>
        <v>0</v>
      </c>
    </row>
    <row r="89" spans="1:26" s="496" customFormat="1" ht="16.350000000000001" customHeight="1">
      <c r="A89" s="526"/>
      <c r="B89" s="599" t="s">
        <v>1944</v>
      </c>
      <c r="C89" s="530"/>
      <c r="D89" s="530"/>
      <c r="E89" s="90">
        <f>SUMPRODUCT($D70:$D77,E70:E77)</f>
        <v>0</v>
      </c>
      <c r="F89" s="90">
        <f t="shared" ref="F89:X89" si="15">SUMPRODUCT($D70:$D77,F70:F77)</f>
        <v>0</v>
      </c>
      <c r="G89" s="90">
        <f t="shared" si="15"/>
        <v>0</v>
      </c>
      <c r="H89" s="90">
        <f t="shared" si="15"/>
        <v>0</v>
      </c>
      <c r="I89" s="90">
        <f t="shared" si="15"/>
        <v>0</v>
      </c>
      <c r="J89" s="90">
        <f t="shared" si="15"/>
        <v>0</v>
      </c>
      <c r="K89" s="90">
        <f t="shared" si="15"/>
        <v>0</v>
      </c>
      <c r="L89" s="90">
        <f t="shared" si="15"/>
        <v>0</v>
      </c>
      <c r="M89" s="90">
        <f t="shared" si="15"/>
        <v>0</v>
      </c>
      <c r="N89" s="90">
        <f t="shared" si="15"/>
        <v>0</v>
      </c>
      <c r="O89" s="90">
        <f t="shared" si="15"/>
        <v>0</v>
      </c>
      <c r="P89" s="90">
        <f t="shared" si="15"/>
        <v>0</v>
      </c>
      <c r="Q89" s="90">
        <f t="shared" si="15"/>
        <v>0</v>
      </c>
      <c r="R89" s="90">
        <f t="shared" si="15"/>
        <v>0</v>
      </c>
      <c r="S89" s="90">
        <f t="shared" si="15"/>
        <v>0</v>
      </c>
      <c r="T89" s="90">
        <f t="shared" si="15"/>
        <v>0</v>
      </c>
      <c r="U89" s="90">
        <f t="shared" si="15"/>
        <v>0</v>
      </c>
      <c r="V89" s="90">
        <f t="shared" si="15"/>
        <v>0</v>
      </c>
      <c r="W89" s="90">
        <f t="shared" si="15"/>
        <v>0</v>
      </c>
      <c r="X89" s="90">
        <f t="shared" si="15"/>
        <v>0</v>
      </c>
    </row>
    <row r="90" spans="1:26" s="496" customFormat="1" ht="16.350000000000001" customHeight="1">
      <c r="A90" s="526"/>
      <c r="B90" s="601"/>
      <c r="C90" s="530"/>
      <c r="D90" s="530"/>
      <c r="E90" s="602">
        <f>SUM(E80:E89)</f>
        <v>0</v>
      </c>
      <c r="F90" s="602">
        <f t="shared" ref="F90:X90" si="16">SUM(F80:F89)</f>
        <v>0</v>
      </c>
      <c r="G90" s="602">
        <f t="shared" si="16"/>
        <v>0</v>
      </c>
      <c r="H90" s="602">
        <f t="shared" si="16"/>
        <v>0</v>
      </c>
      <c r="I90" s="602">
        <f t="shared" si="16"/>
        <v>0</v>
      </c>
      <c r="J90" s="602">
        <f t="shared" si="16"/>
        <v>0</v>
      </c>
      <c r="K90" s="602">
        <f t="shared" si="16"/>
        <v>0</v>
      </c>
      <c r="L90" s="602">
        <f t="shared" si="16"/>
        <v>0</v>
      </c>
      <c r="M90" s="602">
        <f t="shared" si="16"/>
        <v>0</v>
      </c>
      <c r="N90" s="602">
        <f t="shared" si="16"/>
        <v>0</v>
      </c>
      <c r="O90" s="602">
        <f t="shared" si="16"/>
        <v>0</v>
      </c>
      <c r="P90" s="602">
        <f t="shared" si="16"/>
        <v>0</v>
      </c>
      <c r="Q90" s="602">
        <f t="shared" si="16"/>
        <v>0</v>
      </c>
      <c r="R90" s="602">
        <f t="shared" si="16"/>
        <v>0</v>
      </c>
      <c r="S90" s="602">
        <f t="shared" si="16"/>
        <v>0</v>
      </c>
      <c r="T90" s="602">
        <f t="shared" si="16"/>
        <v>0</v>
      </c>
      <c r="U90" s="602">
        <f t="shared" si="16"/>
        <v>0</v>
      </c>
      <c r="V90" s="602">
        <f t="shared" si="16"/>
        <v>0</v>
      </c>
      <c r="W90" s="602">
        <f t="shared" si="16"/>
        <v>0</v>
      </c>
      <c r="X90" s="602">
        <f t="shared" si="16"/>
        <v>0</v>
      </c>
    </row>
    <row r="91" spans="1:26" s="496" customFormat="1" ht="16.350000000000001" customHeight="1">
      <c r="A91" s="526"/>
      <c r="B91" s="601"/>
      <c r="C91" s="530"/>
      <c r="D91" s="530"/>
      <c r="E91" s="530"/>
      <c r="F91" s="530"/>
      <c r="G91" s="530"/>
      <c r="H91" s="530"/>
      <c r="I91" s="530"/>
      <c r="J91" s="530"/>
      <c r="K91" s="530"/>
      <c r="L91" s="530"/>
      <c r="M91" s="530"/>
      <c r="N91" s="530"/>
      <c r="O91" s="530"/>
      <c r="P91" s="530"/>
      <c r="Q91" s="530"/>
      <c r="R91" s="530"/>
      <c r="S91" s="530"/>
      <c r="T91" s="530"/>
      <c r="U91" s="530"/>
      <c r="V91" s="530"/>
      <c r="W91" s="530"/>
      <c r="X91" s="530"/>
      <c r="Y91" s="530"/>
    </row>
    <row r="92" spans="1:26">
      <c r="B92" s="603">
        <v>1</v>
      </c>
      <c r="C92" s="603">
        <f>B92+1</f>
        <v>2</v>
      </c>
      <c r="D92" s="603">
        <f t="shared" ref="D92:Y92" si="17">C92+1</f>
        <v>3</v>
      </c>
      <c r="E92" s="603">
        <f t="shared" si="17"/>
        <v>4</v>
      </c>
      <c r="F92" s="603">
        <f t="shared" si="17"/>
        <v>5</v>
      </c>
      <c r="G92" s="603">
        <f t="shared" si="17"/>
        <v>6</v>
      </c>
      <c r="H92" s="603">
        <f t="shared" si="17"/>
        <v>7</v>
      </c>
      <c r="I92" s="603">
        <f t="shared" si="17"/>
        <v>8</v>
      </c>
      <c r="J92" s="603">
        <f t="shared" si="17"/>
        <v>9</v>
      </c>
      <c r="K92" s="603">
        <f t="shared" si="17"/>
        <v>10</v>
      </c>
      <c r="L92" s="603">
        <f t="shared" si="17"/>
        <v>11</v>
      </c>
      <c r="M92" s="603">
        <f t="shared" si="17"/>
        <v>12</v>
      </c>
      <c r="N92" s="603">
        <f t="shared" si="17"/>
        <v>13</v>
      </c>
      <c r="O92" s="603">
        <f t="shared" si="17"/>
        <v>14</v>
      </c>
      <c r="P92" s="603">
        <f t="shared" si="17"/>
        <v>15</v>
      </c>
      <c r="Q92" s="603">
        <f t="shared" si="17"/>
        <v>16</v>
      </c>
      <c r="R92" s="603">
        <f t="shared" si="17"/>
        <v>17</v>
      </c>
      <c r="S92" s="603">
        <f t="shared" si="17"/>
        <v>18</v>
      </c>
      <c r="T92" s="603">
        <f t="shared" si="17"/>
        <v>19</v>
      </c>
      <c r="U92" s="603">
        <f t="shared" si="17"/>
        <v>20</v>
      </c>
      <c r="V92" s="603">
        <f t="shared" si="17"/>
        <v>21</v>
      </c>
      <c r="W92" s="603">
        <f t="shared" si="17"/>
        <v>22</v>
      </c>
      <c r="X92" s="603">
        <f t="shared" si="17"/>
        <v>23</v>
      </c>
      <c r="Y92" s="603">
        <f t="shared" si="17"/>
        <v>24</v>
      </c>
      <c r="Z92" s="494"/>
    </row>
    <row r="93" spans="1:26">
      <c r="X93" s="526"/>
    </row>
  </sheetData>
  <sheetProtection algorithmName="SHA-512" hashValue="oVR14DqQmgNB+Y/basEZtmuUQHkjSaVLF/HXCJV1miCpqNFJXDw2kOvn2H+ytEv/OdMOBBllDTn5L8+UeB0/BQ==" saltValue="ZwQZusFKlga/xVvt6aOAXg==" spinCount="100000" sheet="1" objects="1" scenarios="1" autoFilter="0"/>
  <phoneticPr fontId="96" type="noConversion"/>
  <dataValidations count="2">
    <dataValidation allowBlank="1" showInputMessage="1" showErrorMessage="1" prompt="Elements comprise the area disturbed requiring grade and seed, number of a range of tanks, number of pumps, length of piping and number of portable buildings - input numbers of elements to right for a given facility." sqref="B6" xr:uid="{E17AE014-93AD-41FB-ACC7-A3D0F77B3DEC}"/>
    <dataValidation type="list" allowBlank="1" showInputMessage="1" showErrorMessage="1" sqref="E2:X2" xr:uid="{19E0C625-E2B7-4256-B638-2D4103BAFC45}">
      <formula1>Plants_short_list</formula1>
    </dataValidation>
  </dataValidations>
  <hyperlinks>
    <hyperlink ref="C3" location="CONTENTS" display="Contents" xr:uid="{85CDEEA6-FC87-465B-92DA-5F9F251AF64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53EBC-0B75-4590-8202-364F331AAC5B}">
  <sheetPr codeName="Sheet55">
    <tabColor theme="9" tint="-0.499984740745262"/>
  </sheetPr>
  <dimension ref="C1:W51"/>
  <sheetViews>
    <sheetView showGridLines="0" zoomScaleNormal="100" zoomScaleSheetLayoutView="100" workbookViewId="0">
      <pane xSplit="8" ySplit="4" topLeftCell="I5" activePane="bottomRight" state="frozen"/>
      <selection pane="topRight" activeCell="I1" sqref="I1"/>
      <selection pane="bottomLeft" activeCell="A5" sqref="A5"/>
      <selection pane="bottomRight"/>
    </sheetView>
  </sheetViews>
  <sheetFormatPr defaultColWidth="9.28515625" defaultRowHeight="12.75"/>
  <cols>
    <col min="1" max="1" width="2" style="494" customWidth="1"/>
    <col min="2" max="2" width="2.42578125" style="494" bestFit="1" customWidth="1"/>
    <col min="3" max="3" width="9.42578125" style="494" customWidth="1"/>
    <col min="4" max="4" width="57.28515625" style="494" customWidth="1"/>
    <col min="5" max="7" width="18.5703125" style="497" customWidth="1"/>
    <col min="8" max="8" width="21.42578125" style="607" customWidth="1"/>
    <col min="9" max="9" width="16.5703125" style="497" customWidth="1"/>
    <col min="10" max="10" width="18.5703125" style="497" customWidth="1"/>
    <col min="11" max="11" width="29.5703125" style="497" customWidth="1"/>
    <col min="12" max="12" width="87.5703125" style="497" customWidth="1"/>
    <col min="13" max="13" width="16.5703125" style="494" customWidth="1"/>
    <col min="14" max="22" width="12.42578125" style="494" customWidth="1"/>
    <col min="23" max="23" width="8.7109375" customWidth="1"/>
    <col min="24" max="16384" width="9.28515625" style="494"/>
  </cols>
  <sheetData>
    <row r="1" spans="3:23" ht="9.6" customHeight="1">
      <c r="E1" s="278"/>
      <c r="F1" s="278"/>
      <c r="G1" s="278"/>
      <c r="K1" s="494"/>
      <c r="L1" s="494"/>
      <c r="M1" s="497"/>
      <c r="N1" s="497"/>
      <c r="O1" s="497"/>
      <c r="P1" s="497"/>
      <c r="W1" s="494"/>
    </row>
    <row r="2" spans="3:23" ht="16.350000000000001" customHeight="1">
      <c r="C2" s="225" t="str">
        <f>CONTENTS!$B$2</f>
        <v>Petroleum and Gas Estimated Rehabilitation Cost Calculator</v>
      </c>
      <c r="E2" s="525" t="s">
        <v>1953</v>
      </c>
      <c r="F2" s="525" t="s">
        <v>1726</v>
      </c>
      <c r="K2" s="546"/>
      <c r="L2" s="546"/>
      <c r="M2" s="546"/>
      <c r="P2" s="497"/>
      <c r="W2" s="494"/>
    </row>
    <row r="3" spans="3:23" ht="20.100000000000001" customHeight="1">
      <c r="C3" s="20" t="s">
        <v>305</v>
      </c>
      <c r="D3" s="459" t="s">
        <v>1954</v>
      </c>
      <c r="E3" s="572">
        <f>J43</f>
        <v>0</v>
      </c>
      <c r="F3" s="572">
        <f>ERC</f>
        <v>0</v>
      </c>
      <c r="G3" s="494"/>
      <c r="I3" s="494"/>
      <c r="J3" s="494"/>
      <c r="K3" s="546"/>
      <c r="L3" s="546"/>
      <c r="M3" s="546"/>
      <c r="P3" s="497"/>
      <c r="W3" s="494"/>
    </row>
    <row r="4" spans="3:23" ht="20.100000000000001" customHeight="1">
      <c r="D4" s="608" t="s">
        <v>1955</v>
      </c>
      <c r="E4" s="494"/>
      <c r="F4" s="494"/>
      <c r="G4" s="494"/>
      <c r="K4" s="546"/>
      <c r="M4" s="546"/>
      <c r="P4" s="497"/>
      <c r="W4" s="494"/>
    </row>
    <row r="5" spans="3:23" s="496" customFormat="1" ht="12">
      <c r="E5" s="530"/>
      <c r="F5" s="530"/>
      <c r="G5" s="530"/>
      <c r="H5" s="501" t="s">
        <v>1956</v>
      </c>
      <c r="I5" s="88"/>
      <c r="J5" s="88"/>
      <c r="K5" s="536"/>
      <c r="L5" s="536"/>
      <c r="M5" s="536"/>
    </row>
    <row r="6" spans="3:23" ht="36">
      <c r="C6" s="509" t="s">
        <v>1957</v>
      </c>
      <c r="D6" s="509" t="s">
        <v>1958</v>
      </c>
      <c r="E6" s="509" t="s">
        <v>1959</v>
      </c>
      <c r="F6" s="509" t="s">
        <v>1960</v>
      </c>
      <c r="G6" s="509" t="s">
        <v>1961</v>
      </c>
      <c r="H6" s="609" t="s">
        <v>1</v>
      </c>
      <c r="I6" s="509" t="s">
        <v>423</v>
      </c>
      <c r="J6" s="509" t="s">
        <v>142</v>
      </c>
      <c r="K6" s="546"/>
      <c r="L6" s="610" t="s">
        <v>1962</v>
      </c>
      <c r="M6" s="546"/>
      <c r="N6" s="559"/>
      <c r="O6" s="559"/>
      <c r="P6" s="559"/>
      <c r="W6" s="494"/>
    </row>
    <row r="7" spans="3:23" s="496" customFormat="1">
      <c r="C7" s="621"/>
      <c r="D7" s="599" t="s">
        <v>1963</v>
      </c>
      <c r="E7" s="619" t="s">
        <v>1964</v>
      </c>
      <c r="F7" s="516"/>
      <c r="G7" s="516"/>
      <c r="H7" s="516"/>
      <c r="I7" s="516"/>
      <c r="J7" s="516"/>
      <c r="K7" s="516"/>
      <c r="L7" s="516"/>
      <c r="M7" s="516"/>
    </row>
    <row r="8" spans="3:23" s="496" customFormat="1" ht="15">
      <c r="C8" s="621"/>
      <c r="D8" s="599" t="str">
        <f>Subrates!C305</f>
        <v>LNG Tanks</v>
      </c>
      <c r="E8" s="111">
        <f>VLOOKUP(D8,Subrates!$C$305:$E$324,2,FALSE)</f>
        <v>1428860.1787453324</v>
      </c>
      <c r="F8" s="101"/>
      <c r="G8" s="111">
        <f>IF(F8="",E8,F8)</f>
        <v>1428860.1787453324</v>
      </c>
      <c r="H8" s="611" t="s">
        <v>261</v>
      </c>
      <c r="I8" s="89"/>
      <c r="J8" s="612">
        <f>I8*G8</f>
        <v>0</v>
      </c>
      <c r="K8" s="516" t="str">
        <f>IF(F8&gt;0,"Provide Justification for alternate rate","ok")</f>
        <v>ok</v>
      </c>
      <c r="L8" s="155"/>
      <c r="M8" s="536"/>
    </row>
    <row r="9" spans="3:23" s="496" customFormat="1" ht="15">
      <c r="C9" s="621"/>
      <c r="D9" s="599" t="str">
        <f>Subrates!C306</f>
        <v>LNG Candle Flares</v>
      </c>
      <c r="E9" s="111">
        <f>VLOOKUP(D9,Subrates!$C$305:$E$324,2,FALSE)</f>
        <v>94905.84778314663</v>
      </c>
      <c r="F9" s="101"/>
      <c r="G9" s="111">
        <f t="shared" ref="G9:G37" si="0">IF(F9="",E9,F9)</f>
        <v>94905.84778314663</v>
      </c>
      <c r="H9" s="611" t="s">
        <v>1965</v>
      </c>
      <c r="I9" s="89"/>
      <c r="J9" s="612">
        <f t="shared" ref="J9:J41" si="1">I9*G9</f>
        <v>0</v>
      </c>
      <c r="K9" s="516" t="str">
        <f t="shared" ref="K9:K41" si="2">IF(F9&gt;0,"Provide Justification for alternate rate","ok")</f>
        <v>ok</v>
      </c>
      <c r="L9" s="155"/>
      <c r="M9" s="536"/>
    </row>
    <row r="10" spans="3:23" s="496" customFormat="1" ht="15">
      <c r="C10" s="621"/>
      <c r="D10" s="599" t="str">
        <f>Subrates!C307</f>
        <v>LNG Ground flares</v>
      </c>
      <c r="E10" s="111">
        <f>VLOOKUP(D10,Subrates!$C$305:$E$324,2,FALSE)</f>
        <v>578346.66831291839</v>
      </c>
      <c r="F10" s="101"/>
      <c r="G10" s="111">
        <f t="shared" si="0"/>
        <v>578346.66831291839</v>
      </c>
      <c r="H10" s="611" t="s">
        <v>1966</v>
      </c>
      <c r="I10" s="89"/>
      <c r="J10" s="612">
        <f t="shared" si="1"/>
        <v>0</v>
      </c>
      <c r="K10" s="516" t="str">
        <f t="shared" si="2"/>
        <v>ok</v>
      </c>
      <c r="L10" s="155"/>
      <c r="M10" s="536"/>
    </row>
    <row r="11" spans="3:23" s="496" customFormat="1" ht="15">
      <c r="C11" s="621"/>
      <c r="D11" s="599" t="str">
        <f>Subrates!C308</f>
        <v>Process Modules</v>
      </c>
      <c r="E11" s="111">
        <f>VLOOKUP(D11,Subrates!$C$305:$E$324,2,FALSE)</f>
        <v>37166.410089502344</v>
      </c>
      <c r="F11" s="101"/>
      <c r="G11" s="111">
        <f t="shared" si="0"/>
        <v>37166.410089502344</v>
      </c>
      <c r="H11" s="611" t="s">
        <v>1967</v>
      </c>
      <c r="I11" s="89"/>
      <c r="J11" s="612">
        <f t="shared" si="1"/>
        <v>0</v>
      </c>
      <c r="K11" s="516" t="str">
        <f t="shared" si="2"/>
        <v>ok</v>
      </c>
      <c r="L11" s="155"/>
      <c r="M11" s="536"/>
    </row>
    <row r="12" spans="3:23" s="496" customFormat="1" ht="15">
      <c r="C12" s="621"/>
      <c r="D12" s="599" t="str">
        <f>Subrates!C309</f>
        <v>Skids</v>
      </c>
      <c r="E12" s="111">
        <f>VLOOKUP(D12,Subrates!$C$305:$E$324,2,FALSE)</f>
        <v>4378.7483184007842</v>
      </c>
      <c r="F12" s="101"/>
      <c r="G12" s="111">
        <f t="shared" si="0"/>
        <v>4378.7483184007842</v>
      </c>
      <c r="H12" s="611" t="s">
        <v>257</v>
      </c>
      <c r="I12" s="89"/>
      <c r="J12" s="612">
        <f t="shared" si="1"/>
        <v>0</v>
      </c>
      <c r="K12" s="516" t="str">
        <f t="shared" si="2"/>
        <v>ok</v>
      </c>
      <c r="L12" s="155"/>
      <c r="M12" s="536"/>
    </row>
    <row r="13" spans="3:23" s="496" customFormat="1" ht="15">
      <c r="C13" s="621"/>
      <c r="D13" s="150" t="s">
        <v>1968</v>
      </c>
      <c r="E13" s="111">
        <f>VLOOKUP(D13,tank_list_values,2,FALSE)</f>
        <v>3030.50607923186</v>
      </c>
      <c r="F13" s="101"/>
      <c r="G13" s="111">
        <f t="shared" si="0"/>
        <v>3030.50607923186</v>
      </c>
      <c r="H13" s="613" t="s">
        <v>261</v>
      </c>
      <c r="I13" s="89"/>
      <c r="J13" s="612">
        <f t="shared" si="1"/>
        <v>0</v>
      </c>
      <c r="K13" s="516" t="str">
        <f t="shared" si="2"/>
        <v>ok</v>
      </c>
      <c r="L13" s="155"/>
      <c r="M13" s="536"/>
    </row>
    <row r="14" spans="3:23" s="496" customFormat="1" ht="15">
      <c r="C14" s="621"/>
      <c r="D14" s="150" t="s">
        <v>1969</v>
      </c>
      <c r="E14" s="111">
        <f>VLOOKUP(D14,tank_list_values,2,FALSE)</f>
        <v>5865.5572538609558</v>
      </c>
      <c r="F14" s="101"/>
      <c r="G14" s="111">
        <f t="shared" si="0"/>
        <v>5865.5572538609558</v>
      </c>
      <c r="H14" s="613" t="s">
        <v>261</v>
      </c>
      <c r="I14" s="89"/>
      <c r="J14" s="612">
        <f t="shared" si="1"/>
        <v>0</v>
      </c>
      <c r="K14" s="516" t="str">
        <f t="shared" si="2"/>
        <v>ok</v>
      </c>
      <c r="L14" s="155"/>
      <c r="M14" s="536"/>
    </row>
    <row r="15" spans="3:23" s="496" customFormat="1" ht="15">
      <c r="C15" s="621"/>
      <c r="D15" s="150" t="s">
        <v>1970</v>
      </c>
      <c r="E15" s="111">
        <f>VLOOKUP(D15,tank_list_values,2,FALSE)</f>
        <v>23442.02759656269</v>
      </c>
      <c r="F15" s="101"/>
      <c r="G15" s="111">
        <f t="shared" si="0"/>
        <v>23442.02759656269</v>
      </c>
      <c r="H15" s="613" t="s">
        <v>261</v>
      </c>
      <c r="I15" s="89"/>
      <c r="J15" s="612">
        <f t="shared" si="1"/>
        <v>0</v>
      </c>
      <c r="K15" s="516" t="str">
        <f t="shared" si="2"/>
        <v>ok</v>
      </c>
      <c r="L15" s="155"/>
      <c r="M15" s="536"/>
    </row>
    <row r="16" spans="3:23" s="496" customFormat="1" ht="15">
      <c r="C16" s="621"/>
      <c r="D16" s="150" t="s">
        <v>1968</v>
      </c>
      <c r="E16" s="111">
        <f>VLOOKUP(D16,tank_list_values,2,FALSE)</f>
        <v>3030.50607923186</v>
      </c>
      <c r="F16" s="101"/>
      <c r="G16" s="111">
        <f t="shared" si="0"/>
        <v>3030.50607923186</v>
      </c>
      <c r="H16" s="613" t="s">
        <v>261</v>
      </c>
      <c r="I16" s="89"/>
      <c r="J16" s="612">
        <f t="shared" si="1"/>
        <v>0</v>
      </c>
      <c r="K16" s="516" t="str">
        <f t="shared" si="2"/>
        <v>ok</v>
      </c>
      <c r="L16" s="155"/>
      <c r="M16" s="536"/>
    </row>
    <row r="17" spans="3:13" s="496" customFormat="1" ht="15">
      <c r="C17" s="621"/>
      <c r="D17" s="599" t="str">
        <f>Main!E145</f>
        <v>Communications towers</v>
      </c>
      <c r="E17" s="111">
        <f>VLOOKUP(D17,Main!E145:J145,Main!$J$756-1,FALSE)</f>
        <v>20911.299731672898</v>
      </c>
      <c r="F17" s="101"/>
      <c r="G17" s="111">
        <f t="shared" si="0"/>
        <v>20911.299731672898</v>
      </c>
      <c r="H17" s="611" t="s">
        <v>696</v>
      </c>
      <c r="I17" s="89"/>
      <c r="J17" s="612">
        <f t="shared" si="1"/>
        <v>0</v>
      </c>
      <c r="K17" s="516" t="str">
        <f t="shared" si="2"/>
        <v>ok</v>
      </c>
      <c r="L17" s="155"/>
      <c r="M17" s="536"/>
    </row>
    <row r="18" spans="3:13" s="496" customFormat="1" ht="15">
      <c r="C18" s="621"/>
      <c r="D18" s="599" t="s">
        <v>1971</v>
      </c>
      <c r="E18" s="111">
        <f>Subrates!D311</f>
        <v>14744.259627995101</v>
      </c>
      <c r="F18" s="101"/>
      <c r="G18" s="111">
        <f t="shared" si="0"/>
        <v>14744.259627995101</v>
      </c>
      <c r="H18" s="611" t="s">
        <v>678</v>
      </c>
      <c r="I18" s="89"/>
      <c r="J18" s="612">
        <f t="shared" si="1"/>
        <v>0</v>
      </c>
      <c r="K18" s="516" t="str">
        <f t="shared" si="2"/>
        <v>ok</v>
      </c>
      <c r="L18" s="155"/>
      <c r="M18" s="536"/>
    </row>
    <row r="19" spans="3:13" s="496" customFormat="1" ht="15">
      <c r="C19" s="621"/>
      <c r="D19" s="599" t="str">
        <f>Subrates!C312</f>
        <v>On-site constructed buildings and shelters (steel wall)</v>
      </c>
      <c r="E19" s="111">
        <f>VLOOKUP(D19,Subrates!$C$305:$E$324,2,FALSE)</f>
        <v>83.843586410113915</v>
      </c>
      <c r="F19" s="101"/>
      <c r="G19" s="111">
        <f t="shared" si="0"/>
        <v>83.843586410113915</v>
      </c>
      <c r="H19" s="611" t="s">
        <v>88</v>
      </c>
      <c r="I19" s="55"/>
      <c r="J19" s="612">
        <f t="shared" si="1"/>
        <v>0</v>
      </c>
      <c r="K19" s="516" t="str">
        <f t="shared" si="2"/>
        <v>ok</v>
      </c>
      <c r="L19" s="155"/>
      <c r="M19" s="536"/>
    </row>
    <row r="20" spans="3:13" s="496" customFormat="1" ht="15">
      <c r="C20" s="621"/>
      <c r="D20" s="599" t="str">
        <f>Subrates!C313</f>
        <v>On-site constructed buildings (brick/concrete wall)</v>
      </c>
      <c r="E20" s="111">
        <f>VLOOKUP(D20,Subrates!$C$305:$E$324,2,FALSE)</f>
        <v>78.238040836481886</v>
      </c>
      <c r="F20" s="101"/>
      <c r="G20" s="111">
        <f t="shared" si="0"/>
        <v>78.238040836481886</v>
      </c>
      <c r="H20" s="611" t="s">
        <v>88</v>
      </c>
      <c r="I20" s="55"/>
      <c r="J20" s="612">
        <f t="shared" si="1"/>
        <v>0</v>
      </c>
      <c r="K20" s="516" t="str">
        <f t="shared" si="2"/>
        <v>ok</v>
      </c>
      <c r="L20" s="155"/>
      <c r="M20" s="536"/>
    </row>
    <row r="21" spans="3:13" s="496" customFormat="1" ht="15">
      <c r="C21" s="621"/>
      <c r="D21" s="599" t="str">
        <f>Subrates!C314</f>
        <v>Portable Buildings</v>
      </c>
      <c r="E21" s="111">
        <f>VLOOKUP(D21,Subrates!$C$305:$E$324,2,FALSE)</f>
        <v>6193.2374496453021</v>
      </c>
      <c r="F21" s="101"/>
      <c r="G21" s="111">
        <f t="shared" si="0"/>
        <v>6193.2374496453021</v>
      </c>
      <c r="H21" s="611" t="s">
        <v>1972</v>
      </c>
      <c r="I21" s="89"/>
      <c r="J21" s="612">
        <f t="shared" si="1"/>
        <v>0</v>
      </c>
      <c r="K21" s="516" t="str">
        <f t="shared" si="2"/>
        <v>ok</v>
      </c>
      <c r="L21" s="155"/>
      <c r="M21" s="536"/>
    </row>
    <row r="22" spans="3:13" s="496" customFormat="1" ht="15">
      <c r="C22" s="621"/>
      <c r="D22" s="620" t="s">
        <v>1973</v>
      </c>
      <c r="E22" s="614">
        <f>IF(D22="No camp",0,VLOOKUP(D22,Camps_subs_values,Subrates!$D$1,FALSE))</f>
        <v>1287997.2914514868</v>
      </c>
      <c r="F22" s="101"/>
      <c r="G22" s="111">
        <f t="shared" si="0"/>
        <v>1287997.2914514868</v>
      </c>
      <c r="H22" s="611" t="s">
        <v>1974</v>
      </c>
      <c r="I22" s="55"/>
      <c r="J22" s="612">
        <f t="shared" si="1"/>
        <v>0</v>
      </c>
      <c r="K22" s="516" t="str">
        <f t="shared" si="2"/>
        <v>ok</v>
      </c>
      <c r="L22" s="155"/>
      <c r="M22" s="536"/>
    </row>
    <row r="23" spans="3:13" s="496" customFormat="1" ht="15">
      <c r="C23" s="621"/>
      <c r="D23" s="599" t="str">
        <f>Subrates!C315</f>
        <v>Piping not associated with modules</v>
      </c>
      <c r="E23" s="111">
        <f>VLOOKUP(D23,Subrates!$C$305:$E$324,2,FALSE)</f>
        <v>24.256734623373696</v>
      </c>
      <c r="F23" s="101"/>
      <c r="G23" s="111">
        <f t="shared" si="0"/>
        <v>24.256734623373696</v>
      </c>
      <c r="H23" s="611" t="s">
        <v>79</v>
      </c>
      <c r="I23" s="55"/>
      <c r="J23" s="612">
        <f t="shared" si="1"/>
        <v>0</v>
      </c>
      <c r="K23" s="516" t="str">
        <f t="shared" si="2"/>
        <v>ok</v>
      </c>
      <c r="L23" s="155"/>
      <c r="M23" s="536"/>
    </row>
    <row r="24" spans="3:13" s="496" customFormat="1" ht="15">
      <c r="C24" s="621"/>
      <c r="D24" s="599" t="str">
        <f>Subrates!C316</f>
        <v>Pipe to ground penetrations</v>
      </c>
      <c r="E24" s="111">
        <f>VLOOKUP(D24,Subrates!$C$305:$E$324,2,FALSE)</f>
        <v>708.05531104662293</v>
      </c>
      <c r="F24" s="101"/>
      <c r="G24" s="111">
        <f t="shared" si="0"/>
        <v>708.05531104662293</v>
      </c>
      <c r="H24" s="611" t="s">
        <v>79</v>
      </c>
      <c r="I24" s="55"/>
      <c r="J24" s="612">
        <f t="shared" si="1"/>
        <v>0</v>
      </c>
      <c r="K24" s="516" t="str">
        <f t="shared" si="2"/>
        <v>ok</v>
      </c>
      <c r="L24" s="155"/>
      <c r="M24" s="536"/>
    </row>
    <row r="25" spans="3:13" s="496" customFormat="1" ht="15">
      <c r="C25" s="621"/>
      <c r="D25" s="599" t="str">
        <f>Subrates!C317</f>
        <v>Site electrical and tray</v>
      </c>
      <c r="E25" s="111">
        <f>VLOOKUP(D25,Subrates!$C$305:$E$324,2,FALSE)</f>
        <v>6.4473744153094863</v>
      </c>
      <c r="F25" s="101"/>
      <c r="G25" s="111">
        <f t="shared" si="0"/>
        <v>6.4473744153094863</v>
      </c>
      <c r="H25" s="611" t="s">
        <v>79</v>
      </c>
      <c r="I25" s="55"/>
      <c r="J25" s="612">
        <f t="shared" si="1"/>
        <v>0</v>
      </c>
      <c r="K25" s="516" t="str">
        <f t="shared" si="2"/>
        <v>ok</v>
      </c>
      <c r="L25" s="155"/>
      <c r="M25" s="536"/>
    </row>
    <row r="26" spans="3:13" s="496" customFormat="1" ht="15">
      <c r="C26" s="621"/>
      <c r="D26" s="599" t="str">
        <f>Subrates!C318</f>
        <v>Crush concrete and place around site</v>
      </c>
      <c r="E26" s="111">
        <f>VLOOKUP(D26,Subrates!$C$305:$E$324,2,FALSE)</f>
        <v>37.683233128992974</v>
      </c>
      <c r="F26" s="101"/>
      <c r="G26" s="111">
        <f t="shared" si="0"/>
        <v>37.683233128992974</v>
      </c>
      <c r="H26" s="611" t="s">
        <v>19</v>
      </c>
      <c r="I26" s="55"/>
      <c r="J26" s="612">
        <f t="shared" si="1"/>
        <v>0</v>
      </c>
      <c r="K26" s="516" t="str">
        <f t="shared" si="2"/>
        <v>ok</v>
      </c>
      <c r="L26" s="155"/>
      <c r="M26" s="536"/>
    </row>
    <row r="27" spans="3:13" s="496" customFormat="1" ht="15">
      <c r="C27" s="621"/>
      <c r="D27" s="599" t="str">
        <f>Subrates!C319</f>
        <v>Rip up and dispose asphalt</v>
      </c>
      <c r="E27" s="111">
        <f>VLOOKUP(D27,Subrates!$C$305:$E$324,2,FALSE)</f>
        <v>12.841386063004377</v>
      </c>
      <c r="F27" s="101"/>
      <c r="G27" s="111">
        <f t="shared" si="0"/>
        <v>12.841386063004377</v>
      </c>
      <c r="H27" s="611" t="s">
        <v>88</v>
      </c>
      <c r="I27" s="55"/>
      <c r="J27" s="612">
        <f t="shared" si="1"/>
        <v>0</v>
      </c>
      <c r="K27" s="516" t="str">
        <f t="shared" si="2"/>
        <v>ok</v>
      </c>
      <c r="L27" s="155"/>
      <c r="M27" s="536"/>
    </row>
    <row r="28" spans="3:13" s="496" customFormat="1" ht="15">
      <c r="C28" s="621"/>
      <c r="D28" s="599" t="str">
        <f>Subrates!C320</f>
        <v>Rip up and transport gravel to re-use area</v>
      </c>
      <c r="E28" s="111">
        <f>VLOOKUP(D28,Subrates!$C$305:$E$324,2,FALSE)</f>
        <v>0.10016945146381405</v>
      </c>
      <c r="F28" s="101"/>
      <c r="G28" s="111">
        <f t="shared" si="0"/>
        <v>0.10016945146381405</v>
      </c>
      <c r="H28" s="611" t="s">
        <v>88</v>
      </c>
      <c r="I28" s="55"/>
      <c r="J28" s="612">
        <f t="shared" si="1"/>
        <v>0</v>
      </c>
      <c r="K28" s="516" t="str">
        <f t="shared" si="2"/>
        <v>ok</v>
      </c>
      <c r="L28" s="155"/>
      <c r="M28" s="536"/>
    </row>
    <row r="29" spans="3:13" s="496" customFormat="1" ht="15">
      <c r="C29" s="621"/>
      <c r="D29" s="599" t="str">
        <f>Subrates!C321</f>
        <v>Mass of Incidental waste to take off island (t)</v>
      </c>
      <c r="E29" s="111">
        <f>VLOOKUP(D29,Subrates!$C$305:$E$324,2,FALSE)</f>
        <v>139.24360604672191</v>
      </c>
      <c r="F29" s="101"/>
      <c r="G29" s="111">
        <f t="shared" si="0"/>
        <v>139.24360604672191</v>
      </c>
      <c r="H29" s="611" t="s">
        <v>19</v>
      </c>
      <c r="I29" s="55"/>
      <c r="J29" s="612">
        <f t="shared" si="1"/>
        <v>0</v>
      </c>
      <c r="K29" s="516" t="str">
        <f t="shared" si="2"/>
        <v>ok</v>
      </c>
      <c r="L29" s="155"/>
      <c r="M29" s="536"/>
    </row>
    <row r="30" spans="3:13" s="496" customFormat="1" ht="15">
      <c r="C30" s="621"/>
      <c r="D30" s="599" t="str">
        <f>Subrates!C322</f>
        <v>Security fencing (m)</v>
      </c>
      <c r="E30" s="111">
        <f>VLOOKUP(D30,Subrates!$C$305:$E$324,2,FALSE)</f>
        <v>22</v>
      </c>
      <c r="F30" s="101"/>
      <c r="G30" s="111">
        <f t="shared" si="0"/>
        <v>22</v>
      </c>
      <c r="H30" s="611" t="s">
        <v>79</v>
      </c>
      <c r="I30" s="55"/>
      <c r="J30" s="612">
        <f t="shared" si="1"/>
        <v>0</v>
      </c>
      <c r="K30" s="516" t="str">
        <f t="shared" si="2"/>
        <v>ok</v>
      </c>
      <c r="L30" s="155"/>
      <c r="M30" s="536"/>
    </row>
    <row r="31" spans="3:13" s="496" customFormat="1" ht="15">
      <c r="C31" s="621"/>
      <c r="D31" s="599" t="str">
        <f>Subrates!C323</f>
        <v>Reshape for drainage, level, place growth media</v>
      </c>
      <c r="E31" s="111">
        <f>VLOOKUP(D31,Subrates!$C$305:$E$324,2,FALSE)</f>
        <v>12041.498977346095</v>
      </c>
      <c r="F31" s="101"/>
      <c r="G31" s="111">
        <f t="shared" si="0"/>
        <v>12041.498977346095</v>
      </c>
      <c r="H31" s="611" t="s">
        <v>119</v>
      </c>
      <c r="I31" s="55"/>
      <c r="J31" s="612">
        <f t="shared" si="1"/>
        <v>0</v>
      </c>
      <c r="K31" s="516" t="str">
        <f t="shared" si="2"/>
        <v>ok</v>
      </c>
      <c r="L31" s="155"/>
      <c r="M31" s="536"/>
    </row>
    <row r="32" spans="3:13" s="496" customFormat="1" ht="15">
      <c r="C32" s="621"/>
      <c r="D32" s="599" t="s">
        <v>1975</v>
      </c>
      <c r="E32" s="111">
        <f>pasture</f>
        <v>1655.5</v>
      </c>
      <c r="F32" s="101"/>
      <c r="G32" s="111">
        <f t="shared" si="0"/>
        <v>1655.5</v>
      </c>
      <c r="H32" s="611" t="s">
        <v>119</v>
      </c>
      <c r="I32" s="55"/>
      <c r="J32" s="612">
        <f t="shared" si="1"/>
        <v>0</v>
      </c>
      <c r="K32" s="516" t="str">
        <f t="shared" si="2"/>
        <v>ok</v>
      </c>
      <c r="L32" s="155"/>
      <c r="M32" s="536"/>
    </row>
    <row r="33" spans="3:23" s="496" customFormat="1" ht="15">
      <c r="C33" s="621"/>
      <c r="D33" s="599" t="s">
        <v>1976</v>
      </c>
      <c r="E33" s="111">
        <f>native</f>
        <v>4196.5</v>
      </c>
      <c r="F33" s="101"/>
      <c r="G33" s="111">
        <f t="shared" si="0"/>
        <v>4196.5</v>
      </c>
      <c r="H33" s="611" t="s">
        <v>119</v>
      </c>
      <c r="I33" s="55"/>
      <c r="J33" s="612">
        <f t="shared" si="1"/>
        <v>0</v>
      </c>
      <c r="K33" s="516" t="str">
        <f t="shared" si="2"/>
        <v>ok</v>
      </c>
      <c r="L33" s="155"/>
      <c r="M33" s="536"/>
    </row>
    <row r="34" spans="3:23" s="496" customFormat="1" ht="15">
      <c r="C34" s="621"/>
      <c r="D34" s="599" t="s">
        <v>1977</v>
      </c>
      <c r="E34" s="111">
        <f>arid</f>
        <v>0</v>
      </c>
      <c r="F34" s="101"/>
      <c r="G34" s="111">
        <f t="shared" si="0"/>
        <v>0</v>
      </c>
      <c r="H34" s="611" t="s">
        <v>119</v>
      </c>
      <c r="I34" s="55"/>
      <c r="J34" s="612">
        <f t="shared" si="1"/>
        <v>0</v>
      </c>
      <c r="K34" s="516" t="str">
        <f t="shared" si="2"/>
        <v>ok</v>
      </c>
      <c r="L34" s="155"/>
      <c r="M34" s="536"/>
    </row>
    <row r="35" spans="3:23" s="496" customFormat="1" ht="15">
      <c r="C35" s="621"/>
      <c r="D35" s="599" t="str">
        <f>Subrates!C324</f>
        <v>Purging</v>
      </c>
      <c r="E35" s="111">
        <f>VLOOKUP(D35,Subrates!$C$305:$E$324,2,FALSE)</f>
        <v>165000</v>
      </c>
      <c r="F35" s="101"/>
      <c r="G35" s="111">
        <f t="shared" si="0"/>
        <v>165000</v>
      </c>
      <c r="H35" s="611" t="s">
        <v>1207</v>
      </c>
      <c r="I35" s="89"/>
      <c r="J35" s="612">
        <f t="shared" si="1"/>
        <v>0</v>
      </c>
      <c r="K35" s="516" t="str">
        <f t="shared" si="2"/>
        <v>ok</v>
      </c>
      <c r="L35" s="155"/>
      <c r="M35" s="536"/>
    </row>
    <row r="36" spans="3:23" s="496" customFormat="1" ht="15">
      <c r="C36" s="621"/>
      <c r="D36" s="599" t="str">
        <f>Subrates!C325</f>
        <v>Investigations one off LNG Plant</v>
      </c>
      <c r="E36" s="111">
        <f>VLOOKUP(D36,Subrates!$C$305:$E$326,2,FALSE)</f>
        <v>42090.698266109976</v>
      </c>
      <c r="F36" s="101"/>
      <c r="G36" s="111">
        <f t="shared" si="0"/>
        <v>42090.698266109976</v>
      </c>
      <c r="H36" s="611" t="s">
        <v>80</v>
      </c>
      <c r="I36" s="89"/>
      <c r="J36" s="612">
        <f t="shared" si="1"/>
        <v>0</v>
      </c>
      <c r="K36" s="516" t="str">
        <f t="shared" si="2"/>
        <v>ok</v>
      </c>
      <c r="L36" s="155"/>
      <c r="M36" s="536"/>
    </row>
    <row r="37" spans="3:23" s="496" customFormat="1" ht="15">
      <c r="C37" s="621"/>
      <c r="D37" s="599" t="str">
        <f>Subrates!C326</f>
        <v>Investigations by area LNG Plant</v>
      </c>
      <c r="E37" s="111">
        <f>VLOOKUP(D37,Subrates!$C$305:$E$326,2,FALSE)</f>
        <v>4704.9317874560338</v>
      </c>
      <c r="F37" s="101"/>
      <c r="G37" s="111">
        <f t="shared" si="0"/>
        <v>4704.9317874560338</v>
      </c>
      <c r="H37" s="611" t="s">
        <v>119</v>
      </c>
      <c r="I37" s="55"/>
      <c r="J37" s="612">
        <f t="shared" si="1"/>
        <v>0</v>
      </c>
      <c r="K37" s="516" t="str">
        <f t="shared" si="2"/>
        <v>ok</v>
      </c>
      <c r="L37" s="155"/>
      <c r="M37" s="536"/>
    </row>
    <row r="38" spans="3:23" s="496" customFormat="1" ht="15">
      <c r="C38" s="621"/>
      <c r="D38" s="140" t="s">
        <v>1978</v>
      </c>
      <c r="E38" s="615"/>
      <c r="F38" s="619"/>
      <c r="G38" s="111">
        <f>F38</f>
        <v>0</v>
      </c>
      <c r="H38" s="622"/>
      <c r="I38" s="55"/>
      <c r="J38" s="612">
        <f t="shared" si="1"/>
        <v>0</v>
      </c>
      <c r="K38" s="516" t="str">
        <f t="shared" si="2"/>
        <v>ok</v>
      </c>
      <c r="L38" s="155"/>
      <c r="M38" s="536"/>
    </row>
    <row r="39" spans="3:23" s="496" customFormat="1" ht="15">
      <c r="C39" s="621"/>
      <c r="D39" s="140" t="s">
        <v>1978</v>
      </c>
      <c r="E39" s="615"/>
      <c r="F39" s="619"/>
      <c r="G39" s="111">
        <f t="shared" ref="G39:G41" si="3">F39</f>
        <v>0</v>
      </c>
      <c r="H39" s="622"/>
      <c r="I39" s="55"/>
      <c r="J39" s="612">
        <f t="shared" si="1"/>
        <v>0</v>
      </c>
      <c r="K39" s="516" t="str">
        <f t="shared" si="2"/>
        <v>ok</v>
      </c>
      <c r="L39" s="155"/>
      <c r="M39" s="536"/>
    </row>
    <row r="40" spans="3:23" s="496" customFormat="1" ht="15">
      <c r="C40" s="621"/>
      <c r="D40" s="140" t="s">
        <v>1978</v>
      </c>
      <c r="E40" s="615"/>
      <c r="F40" s="619"/>
      <c r="G40" s="111">
        <f t="shared" si="3"/>
        <v>0</v>
      </c>
      <c r="H40" s="622"/>
      <c r="I40" s="55"/>
      <c r="J40" s="612">
        <f t="shared" si="1"/>
        <v>0</v>
      </c>
      <c r="K40" s="516" t="str">
        <f t="shared" si="2"/>
        <v>ok</v>
      </c>
      <c r="L40" s="155"/>
      <c r="M40" s="536"/>
    </row>
    <row r="41" spans="3:23" s="496" customFormat="1" ht="15">
      <c r="C41" s="621"/>
      <c r="D41" s="140" t="s">
        <v>1978</v>
      </c>
      <c r="E41" s="615"/>
      <c r="F41" s="619"/>
      <c r="G41" s="111">
        <f t="shared" si="3"/>
        <v>0</v>
      </c>
      <c r="H41" s="622"/>
      <c r="I41" s="55"/>
      <c r="J41" s="612">
        <f t="shared" si="1"/>
        <v>0</v>
      </c>
      <c r="K41" s="516" t="str">
        <f t="shared" si="2"/>
        <v>ok</v>
      </c>
      <c r="L41" s="155"/>
      <c r="M41" s="536"/>
    </row>
    <row r="42" spans="3:23" ht="16.350000000000001" customHeight="1">
      <c r="C42" s="511"/>
      <c r="D42" s="616"/>
      <c r="E42" s="546"/>
      <c r="F42" s="546"/>
      <c r="G42" s="546"/>
      <c r="H42" s="617"/>
      <c r="I42" s="546"/>
      <c r="J42" s="546"/>
      <c r="K42" s="546"/>
      <c r="L42" s="546"/>
      <c r="M42" s="546"/>
      <c r="W42" s="494"/>
    </row>
    <row r="43" spans="3:23" ht="16.350000000000001" customHeight="1">
      <c r="H43" s="494"/>
      <c r="I43" s="618" t="s">
        <v>1979</v>
      </c>
      <c r="J43" s="612">
        <f>SUM(J6:J42)</f>
        <v>0</v>
      </c>
      <c r="K43" s="546"/>
      <c r="L43" s="546"/>
      <c r="M43" s="546"/>
    </row>
    <row r="44" spans="3:23" ht="16.350000000000001" customHeight="1">
      <c r="I44" s="546"/>
      <c r="K44" s="546"/>
      <c r="L44" s="546"/>
      <c r="M44" s="546"/>
    </row>
    <row r="45" spans="3:23" ht="16.350000000000001" customHeight="1">
      <c r="K45" s="546"/>
      <c r="L45" s="546"/>
      <c r="M45" s="546"/>
    </row>
    <row r="46" spans="3:23" ht="16.350000000000001" customHeight="1">
      <c r="K46" s="546"/>
      <c r="L46" s="546"/>
      <c r="M46" s="546"/>
    </row>
    <row r="47" spans="3:23" ht="16.350000000000001" customHeight="1">
      <c r="K47" s="546"/>
      <c r="L47" s="546"/>
      <c r="M47" s="546"/>
    </row>
    <row r="48" spans="3:23" ht="16.350000000000001" customHeight="1">
      <c r="K48" s="546"/>
      <c r="L48" s="546"/>
      <c r="M48" s="546"/>
    </row>
    <row r="49" spans="11:13" ht="16.350000000000001" customHeight="1">
      <c r="K49" s="546"/>
      <c r="L49" s="546"/>
      <c r="M49" s="546"/>
    </row>
    <row r="50" spans="11:13" ht="16.350000000000001" customHeight="1">
      <c r="K50" s="546"/>
      <c r="L50" s="546"/>
      <c r="M50" s="546"/>
    </row>
    <row r="51" spans="11:13" ht="16.350000000000001" customHeight="1"/>
  </sheetData>
  <sheetProtection algorithmName="SHA-512" hashValue="2eIi4stfump4yhcilGLfyAdnaOXXBkQ7M/mZXJtC9J1HqvH9zbi0vAxXX5ja9/o4NmpqTv7teUp0TBF4yYLoSg==" saltValue="CJ3s0SOdHS9vI95hSagpwg==" spinCount="100000" sheet="1" objects="1" scenarios="1" autoFilter="0"/>
  <phoneticPr fontId="12" type="noConversion"/>
  <conditionalFormatting sqref="F8:F37 L8:L41">
    <cfRule type="cellIs" dxfId="8" priority="7" operator="greaterThan">
      <formula>0</formula>
    </cfRule>
  </conditionalFormatting>
  <conditionalFormatting sqref="F7:M7">
    <cfRule type="containsText" dxfId="7" priority="1" operator="containsText" text="provide">
      <formula>NOT(ISERROR(SEARCH("provide",F7)))</formula>
    </cfRule>
    <cfRule type="containsText" dxfId="6" priority="2" operator="containsText" text="ok">
      <formula>NOT(ISERROR(SEARCH("ok",F7)))</formula>
    </cfRule>
  </conditionalFormatting>
  <conditionalFormatting sqref="K8:K41">
    <cfRule type="containsText" dxfId="5" priority="5" operator="containsText" text="provide">
      <formula>NOT(ISERROR(SEARCH("provide",K8)))</formula>
    </cfRule>
    <cfRule type="containsText" dxfId="4" priority="6" operator="containsText" text="ok">
      <formula>NOT(ISERROR(SEARCH("ok",K8)))</formula>
    </cfRule>
  </conditionalFormatting>
  <dataValidations count="5">
    <dataValidation type="list" allowBlank="1" showInputMessage="1" showErrorMessage="1" sqref="D22" xr:uid="{87374181-3A30-4A14-AB3D-0B2DFE3F7B26}">
      <formula1>Camps_list</formula1>
    </dataValidation>
    <dataValidation type="whole" allowBlank="1" showInputMessage="1" showErrorMessage="1" sqref="J8:J41 I8:I10" xr:uid="{4392D423-FDC9-4A90-A395-EE80AD1C7575}">
      <formula1>0</formula1>
      <formula2>2000</formula2>
    </dataValidation>
    <dataValidation type="list" allowBlank="1" showInputMessage="1" showErrorMessage="1" sqref="D13:D16" xr:uid="{6E702F55-CB61-441B-AE5A-FD690F7D5884}">
      <formula1>tank_list</formula1>
    </dataValidation>
    <dataValidation allowBlank="1" showInputMessage="1" showErrorMessage="1" prompt="Selection determines how much concrete is added to the Waste Register. This selection does not affect the cost and the User must enter quantities for all trains in this sheet." sqref="D7" xr:uid="{EC370E5D-F897-4C92-B933-AE28A42DB4DF}"/>
    <dataValidation type="whole" allowBlank="1" showInputMessage="1" showErrorMessage="1" sqref="I11:I18 I21 I22 I35:I36 I38:I41" xr:uid="{7D5EB21B-C663-4A6F-AD59-5E2C3C3E32FA}">
      <formula1>0</formula1>
      <formula2>10000</formula2>
    </dataValidation>
  </dataValidations>
  <hyperlinks>
    <hyperlink ref="C3" location="CONTENTS" display="Contents" xr:uid="{56EA439D-E0DA-4DA6-BD49-286214405D9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9856087-1550-47EC-80AA-986B7CAFDCC6}">
          <x14:formula1>
            <xm:f>Lists!$C$381:$C$383</xm:f>
          </x14:formula1>
          <xm:sqref>E7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0708D-DE6E-4046-9589-DC545D33ECB5}">
  <sheetPr codeName="Sheet13">
    <tabColor theme="9" tint="-0.499984740745262"/>
  </sheetPr>
  <dimension ref="A2:BE86"/>
  <sheetViews>
    <sheetView showGridLines="0" zoomScaleNormal="100" workbookViewId="0">
      <pane xSplit="4" ySplit="6" topLeftCell="E7" activePane="bottomRight" state="frozen"/>
      <selection pane="topRight" activeCell="F1" sqref="F1"/>
      <selection pane="bottomLeft" activeCell="A6" sqref="A6"/>
      <selection pane="bottomRight"/>
    </sheetView>
  </sheetViews>
  <sheetFormatPr defaultColWidth="9.28515625" defaultRowHeight="12"/>
  <cols>
    <col min="1" max="1" width="6.42578125" style="494" customWidth="1"/>
    <col min="2" max="2" width="57.42578125" style="494" customWidth="1"/>
    <col min="3" max="4" width="18.5703125" style="497" customWidth="1"/>
    <col min="5" max="14" width="16.7109375" style="497" customWidth="1"/>
    <col min="15" max="17" width="18.5703125" style="497" customWidth="1"/>
    <col min="18" max="19" width="12.42578125" style="497" customWidth="1"/>
    <col min="20" max="26" width="12.42578125" style="494" customWidth="1"/>
    <col min="27" max="27" width="2.7109375" style="494" customWidth="1"/>
    <col min="28" max="16384" width="9.28515625" style="494"/>
  </cols>
  <sheetData>
    <row r="2" spans="1:57" ht="16.350000000000001" customHeight="1">
      <c r="B2" s="593" t="str">
        <f>CONTENTS!B2</f>
        <v>Petroleum and Gas Estimated Rehabilitation Cost Calculator</v>
      </c>
      <c r="O2" s="494"/>
      <c r="P2" s="494"/>
      <c r="Q2" s="494"/>
      <c r="R2" s="494"/>
      <c r="T2" s="497"/>
      <c r="U2" s="497"/>
      <c r="V2" s="497"/>
    </row>
    <row r="3" spans="1:57" ht="12.75">
      <c r="B3" s="594" t="s">
        <v>325</v>
      </c>
      <c r="C3" s="20" t="s">
        <v>305</v>
      </c>
      <c r="D3" s="511" t="s">
        <v>439</v>
      </c>
      <c r="E3" s="88"/>
      <c r="F3" s="88"/>
      <c r="G3" s="88"/>
      <c r="H3" s="88"/>
      <c r="I3" s="88"/>
      <c r="J3" s="88"/>
      <c r="K3" s="88"/>
      <c r="L3" s="88"/>
      <c r="M3" s="88"/>
      <c r="N3" s="88"/>
      <c r="O3" s="494"/>
      <c r="P3" s="494"/>
      <c r="Q3" s="494"/>
      <c r="R3" s="515"/>
      <c r="S3" s="494"/>
      <c r="V3" s="497"/>
    </row>
    <row r="4" spans="1:57" customFormat="1" ht="22.5">
      <c r="A4" s="595"/>
      <c r="B4" s="572">
        <f>SUM(E6:N6)</f>
        <v>0</v>
      </c>
      <c r="C4" s="623" t="s">
        <v>1925</v>
      </c>
      <c r="D4" s="526" t="s">
        <v>1774</v>
      </c>
      <c r="E4" s="88"/>
      <c r="F4" s="88"/>
      <c r="G4" s="88"/>
      <c r="H4" s="88"/>
      <c r="I4" s="88"/>
      <c r="J4" s="88"/>
      <c r="K4" s="88"/>
      <c r="L4" s="88"/>
      <c r="M4" s="88"/>
      <c r="N4" s="88"/>
      <c r="O4" s="562" t="s">
        <v>145</v>
      </c>
      <c r="P4" s="562" t="s">
        <v>1980</v>
      </c>
      <c r="Q4" s="562" t="s">
        <v>146</v>
      </c>
      <c r="BD4" s="596"/>
      <c r="BE4" s="494"/>
    </row>
    <row r="5" spans="1:57" customFormat="1" ht="22.5">
      <c r="A5" s="595"/>
      <c r="B5" s="572">
        <f>ERC</f>
        <v>0</v>
      </c>
      <c r="C5" s="623" t="s">
        <v>1726</v>
      </c>
      <c r="D5" s="526" t="s">
        <v>21</v>
      </c>
      <c r="E5" s="88"/>
      <c r="F5" s="88"/>
      <c r="G5" s="88"/>
      <c r="H5" s="88"/>
      <c r="I5" s="88"/>
      <c r="J5" s="88"/>
      <c r="K5" s="88"/>
      <c r="L5" s="88"/>
      <c r="M5" s="88"/>
      <c r="N5" s="88"/>
      <c r="O5" s="562"/>
      <c r="P5" s="562"/>
      <c r="Q5" s="562"/>
      <c r="BD5" s="494"/>
      <c r="BE5" s="494"/>
    </row>
    <row r="6" spans="1:57" ht="16.350000000000001" customHeight="1">
      <c r="B6" s="597" t="s">
        <v>1926</v>
      </c>
      <c r="C6" s="598"/>
      <c r="D6" s="598" t="s">
        <v>247</v>
      </c>
      <c r="E6" s="54">
        <f t="shared" ref="E6:N6" si="0">E84</f>
        <v>0</v>
      </c>
      <c r="F6" s="54">
        <f t="shared" si="0"/>
        <v>0</v>
      </c>
      <c r="G6" s="54">
        <f t="shared" si="0"/>
        <v>0</v>
      </c>
      <c r="H6" s="54">
        <f t="shared" si="0"/>
        <v>0</v>
      </c>
      <c r="I6" s="54">
        <f t="shared" si="0"/>
        <v>0</v>
      </c>
      <c r="J6" s="54">
        <f t="shared" si="0"/>
        <v>0</v>
      </c>
      <c r="K6" s="54">
        <f t="shared" si="0"/>
        <v>0</v>
      </c>
      <c r="L6" s="54">
        <f t="shared" si="0"/>
        <v>0</v>
      </c>
      <c r="M6" s="54">
        <f t="shared" si="0"/>
        <v>0</v>
      </c>
      <c r="N6" s="54">
        <f t="shared" si="0"/>
        <v>0</v>
      </c>
      <c r="O6" s="54">
        <f>O84</f>
        <v>60505.795767017473</v>
      </c>
      <c r="P6" s="54">
        <f>P84</f>
        <v>176230.19533442293</v>
      </c>
      <c r="Q6" s="54">
        <f>Q84</f>
        <v>275288.30427520763</v>
      </c>
      <c r="R6" s="494"/>
      <c r="S6" s="494"/>
    </row>
    <row r="7" spans="1:57" s="496" customFormat="1" ht="16.350000000000001" customHeight="1">
      <c r="A7" s="526">
        <v>1</v>
      </c>
      <c r="B7" s="599" t="str">
        <f>Subrates!C101</f>
        <v>Vertical, Steel, Open top, Earth, Single skin, Lined, 0.14 ML</v>
      </c>
      <c r="C7" s="562" t="s">
        <v>261</v>
      </c>
      <c r="D7" s="90">
        <f>VLOOKUP(B7,tank_list_values,Subrates!$D$1,FALSE)</f>
        <v>3030.50607923186</v>
      </c>
      <c r="E7" s="52"/>
      <c r="F7" s="52"/>
      <c r="G7" s="52"/>
      <c r="H7" s="52"/>
      <c r="I7" s="52"/>
      <c r="J7" s="52"/>
      <c r="K7" s="52"/>
      <c r="L7" s="52"/>
      <c r="M7" s="52"/>
      <c r="N7" s="52"/>
      <c r="O7" s="624"/>
      <c r="P7" s="624"/>
      <c r="Q7" s="624"/>
    </row>
    <row r="8" spans="1:57" s="496" customFormat="1" ht="16.350000000000001" customHeight="1">
      <c r="A8" s="526">
        <f t="shared" ref="A8:A72" si="1">A7+1</f>
        <v>2</v>
      </c>
      <c r="B8" s="599" t="str">
        <f>Subrates!C102</f>
        <v>Vertical, Steel, Open top, Earth, Single skin, Lined, 0.6 ML</v>
      </c>
      <c r="C8" s="562" t="s">
        <v>261</v>
      </c>
      <c r="D8" s="90">
        <f>VLOOKUP(B8,tank_list_values,Subrates!$D$1,FALSE)</f>
        <v>5865.5572538609558</v>
      </c>
      <c r="E8" s="52"/>
      <c r="F8" s="52"/>
      <c r="G8" s="52"/>
      <c r="H8" s="52"/>
      <c r="I8" s="52"/>
      <c r="J8" s="52"/>
      <c r="K8" s="52"/>
      <c r="L8" s="52"/>
      <c r="M8" s="52"/>
      <c r="N8" s="52"/>
      <c r="O8" s="624"/>
      <c r="P8" s="624"/>
      <c r="Q8" s="624"/>
    </row>
    <row r="9" spans="1:57" s="496" customFormat="1" ht="16.350000000000001" customHeight="1">
      <c r="A9" s="526">
        <f t="shared" si="1"/>
        <v>3</v>
      </c>
      <c r="B9" s="599" t="str">
        <f>Subrates!C103</f>
        <v>Vertical, Steel, Open top, Earth, Single skin, Lined, 1 ML</v>
      </c>
      <c r="C9" s="562" t="s">
        <v>261</v>
      </c>
      <c r="D9" s="90">
        <f>VLOOKUP(B9,tank_list_values,Subrates!$D$1,FALSE)</f>
        <v>6481.102649142761</v>
      </c>
      <c r="E9" s="52"/>
      <c r="F9" s="52"/>
      <c r="G9" s="52"/>
      <c r="H9" s="52"/>
      <c r="I9" s="52"/>
      <c r="J9" s="52"/>
      <c r="K9" s="52"/>
      <c r="L9" s="52"/>
      <c r="M9" s="52"/>
      <c r="N9" s="52"/>
      <c r="O9" s="624"/>
      <c r="P9" s="624"/>
      <c r="Q9" s="624"/>
    </row>
    <row r="10" spans="1:57" s="496" customFormat="1" ht="16.350000000000001" customHeight="1">
      <c r="A10" s="526">
        <f t="shared" si="1"/>
        <v>4</v>
      </c>
      <c r="B10" s="599" t="str">
        <f>Subrates!C104</f>
        <v>Vertical, Steel, Open top, Earth, Single skin, Lined, 3.5 ML</v>
      </c>
      <c r="C10" s="562" t="s">
        <v>261</v>
      </c>
      <c r="D10" s="90">
        <f>VLOOKUP(B10,tank_list_values,Subrates!$D$1,FALSE)</f>
        <v>13976.081573846101</v>
      </c>
      <c r="E10" s="52"/>
      <c r="F10" s="52"/>
      <c r="G10" s="52"/>
      <c r="H10" s="52"/>
      <c r="I10" s="52"/>
      <c r="J10" s="52"/>
      <c r="K10" s="52"/>
      <c r="L10" s="52"/>
      <c r="M10" s="52"/>
      <c r="N10" s="52"/>
      <c r="O10" s="624"/>
      <c r="P10" s="624"/>
      <c r="Q10" s="624"/>
    </row>
    <row r="11" spans="1:57" s="496" customFormat="1" ht="16.350000000000001" customHeight="1">
      <c r="A11" s="526">
        <f t="shared" si="1"/>
        <v>5</v>
      </c>
      <c r="B11" s="599" t="str">
        <f>Subrates!C105</f>
        <v>Vertical, Steel, Open top, Earth, Single skin, Lined, 7 ML</v>
      </c>
      <c r="C11" s="562" t="s">
        <v>261</v>
      </c>
      <c r="D11" s="90">
        <f>VLOOKUP(B11,tank_list_values,Subrates!$D$1,FALSE)</f>
        <v>21608.791505702786</v>
      </c>
      <c r="E11" s="52"/>
      <c r="F11" s="52"/>
      <c r="G11" s="52"/>
      <c r="H11" s="52"/>
      <c r="I11" s="52"/>
      <c r="J11" s="52"/>
      <c r="K11" s="52"/>
      <c r="L11" s="52"/>
      <c r="M11" s="52"/>
      <c r="N11" s="52"/>
      <c r="O11" s="624"/>
      <c r="P11" s="624"/>
      <c r="Q11" s="624"/>
    </row>
    <row r="12" spans="1:57" s="496" customFormat="1" ht="16.350000000000001" customHeight="1">
      <c r="A12" s="526">
        <f t="shared" si="1"/>
        <v>6</v>
      </c>
      <c r="B12" s="599" t="str">
        <f>Subrates!C106</f>
        <v>Vertical, Steel, Open top, Earth, Single skin, Lined, 8 ML</v>
      </c>
      <c r="C12" s="562" t="s">
        <v>261</v>
      </c>
      <c r="D12" s="90">
        <f>VLOOKUP(B12,tank_list_values,Subrates!$D$1,FALSE)</f>
        <v>24739.086855535435</v>
      </c>
      <c r="E12" s="52"/>
      <c r="F12" s="52"/>
      <c r="G12" s="52"/>
      <c r="H12" s="52"/>
      <c r="I12" s="52"/>
      <c r="J12" s="52"/>
      <c r="K12" s="52"/>
      <c r="L12" s="52"/>
      <c r="M12" s="52"/>
      <c r="N12" s="52"/>
      <c r="O12" s="624"/>
      <c r="P12" s="624"/>
      <c r="Q12" s="624"/>
    </row>
    <row r="13" spans="1:57" s="496" customFormat="1" ht="16.350000000000001" customHeight="1">
      <c r="A13" s="526">
        <f t="shared" si="1"/>
        <v>7</v>
      </c>
      <c r="B13" s="599" t="str">
        <f>Subrates!C107</f>
        <v>Vertical, Steel, Open top, Earth, Single skin, Lined, 12 ML</v>
      </c>
      <c r="C13" s="562" t="s">
        <v>261</v>
      </c>
      <c r="D13" s="90">
        <f>VLOOKUP(B13,tank_list_values,Subrates!$D$1,FALSE)</f>
        <v>28659.094537878042</v>
      </c>
      <c r="E13" s="52"/>
      <c r="F13" s="52"/>
      <c r="G13" s="52"/>
      <c r="H13" s="52"/>
      <c r="I13" s="52"/>
      <c r="J13" s="52"/>
      <c r="K13" s="52"/>
      <c r="L13" s="52"/>
      <c r="M13" s="52"/>
      <c r="N13" s="52"/>
      <c r="O13" s="624"/>
      <c r="P13" s="624"/>
      <c r="Q13" s="624"/>
    </row>
    <row r="14" spans="1:57" s="496" customFormat="1" ht="16.350000000000001" customHeight="1">
      <c r="A14" s="526">
        <f t="shared" si="1"/>
        <v>8</v>
      </c>
      <c r="B14" s="599" t="str">
        <f>Subrates!C108</f>
        <v>Vertical, Steel, Open top, Earth, Single skin, Lined, 17 ML</v>
      </c>
      <c r="C14" s="562" t="s">
        <v>261</v>
      </c>
      <c r="D14" s="90">
        <f>VLOOKUP(B14,tank_list_values,Subrates!$D$1,FALSE)</f>
        <v>38587.758372446813</v>
      </c>
      <c r="E14" s="52"/>
      <c r="F14" s="52"/>
      <c r="G14" s="52"/>
      <c r="H14" s="52"/>
      <c r="I14" s="52"/>
      <c r="J14" s="52"/>
      <c r="K14" s="52"/>
      <c r="L14" s="52"/>
      <c r="M14" s="52"/>
      <c r="N14" s="52"/>
      <c r="O14" s="624"/>
      <c r="P14" s="624"/>
      <c r="Q14" s="624"/>
    </row>
    <row r="15" spans="1:57" s="496" customFormat="1" ht="16.350000000000001" customHeight="1">
      <c r="A15" s="526">
        <f t="shared" si="1"/>
        <v>9</v>
      </c>
      <c r="B15" s="599" t="str">
        <f>Subrates!C109</f>
        <v>Concrete Ring, Steel, Open top, Earth, Single skin, Lined, 4 kL</v>
      </c>
      <c r="C15" s="562" t="s">
        <v>261</v>
      </c>
      <c r="D15" s="90">
        <f>VLOOKUP(B15,tank_list_values,Subrates!$D$1,FALSE)</f>
        <v>13175.482515127245</v>
      </c>
      <c r="E15" s="52"/>
      <c r="F15" s="52"/>
      <c r="G15" s="52"/>
      <c r="H15" s="52"/>
      <c r="I15" s="52"/>
      <c r="J15" s="52"/>
      <c r="K15" s="52"/>
      <c r="L15" s="52"/>
      <c r="M15" s="52"/>
      <c r="N15" s="52"/>
      <c r="O15" s="624"/>
      <c r="P15" s="624"/>
      <c r="Q15" s="624"/>
    </row>
    <row r="16" spans="1:57" s="496" customFormat="1" ht="16.350000000000001" customHeight="1">
      <c r="A16" s="526">
        <f t="shared" si="1"/>
        <v>10</v>
      </c>
      <c r="B16" s="599" t="str">
        <f>Subrates!C110</f>
        <v>Concrete Ring, Steel, Open top, Earth, Single skin, Lined, 8 kL</v>
      </c>
      <c r="C16" s="562" t="s">
        <v>261</v>
      </c>
      <c r="D16" s="90">
        <f>VLOOKUP(B16,tank_list_values,Subrates!$D$1,FALSE)</f>
        <v>19102.757692793886</v>
      </c>
      <c r="E16" s="52"/>
      <c r="F16" s="52"/>
      <c r="G16" s="52"/>
      <c r="H16" s="52"/>
      <c r="I16" s="52"/>
      <c r="J16" s="52"/>
      <c r="K16" s="52"/>
      <c r="L16" s="52"/>
      <c r="M16" s="52"/>
      <c r="N16" s="52"/>
      <c r="O16" s="624"/>
      <c r="P16" s="624"/>
      <c r="Q16" s="624"/>
    </row>
    <row r="17" spans="1:17" s="496" customFormat="1" ht="16.350000000000001" customHeight="1">
      <c r="A17" s="526">
        <f t="shared" si="1"/>
        <v>11</v>
      </c>
      <c r="B17" s="599" t="str">
        <f>Subrates!C111</f>
        <v>Concrete Ring, Steel, Open top, Earth, Single skin, Lined, 12 kL</v>
      </c>
      <c r="C17" s="562" t="s">
        <v>261</v>
      </c>
      <c r="D17" s="90">
        <f>VLOOKUP(B17,tank_list_values,Subrates!$D$1,FALSE)</f>
        <v>23442.02759656269</v>
      </c>
      <c r="E17" s="52"/>
      <c r="F17" s="52"/>
      <c r="G17" s="52"/>
      <c r="H17" s="52"/>
      <c r="I17" s="52"/>
      <c r="J17" s="52"/>
      <c r="K17" s="52"/>
      <c r="L17" s="52"/>
      <c r="M17" s="52"/>
      <c r="N17" s="52"/>
      <c r="O17" s="624"/>
      <c r="P17" s="624"/>
      <c r="Q17" s="624"/>
    </row>
    <row r="18" spans="1:17" s="496" customFormat="1" ht="16.350000000000001" customHeight="1">
      <c r="A18" s="526">
        <f t="shared" si="1"/>
        <v>12</v>
      </c>
      <c r="B18" s="599" t="str">
        <f>Subrates!C112</f>
        <v>Horizontal, Steel, Closed top, Skid, Single skin, Not lined, 1.2 kL</v>
      </c>
      <c r="C18" s="562" t="s">
        <v>261</v>
      </c>
      <c r="D18" s="90">
        <f>VLOOKUP(B18,tank_list_values,Subrates!$D$1,FALSE)</f>
        <v>1392.5910802220162</v>
      </c>
      <c r="E18" s="52"/>
      <c r="F18" s="52"/>
      <c r="G18" s="52"/>
      <c r="H18" s="52"/>
      <c r="I18" s="52"/>
      <c r="J18" s="52"/>
      <c r="K18" s="52"/>
      <c r="L18" s="52"/>
      <c r="M18" s="52"/>
      <c r="N18" s="52"/>
      <c r="O18" s="624"/>
      <c r="P18" s="624"/>
      <c r="Q18" s="624"/>
    </row>
    <row r="19" spans="1:17" s="496" customFormat="1" ht="16.350000000000001" customHeight="1">
      <c r="A19" s="526">
        <f t="shared" si="1"/>
        <v>13</v>
      </c>
      <c r="B19" s="599" t="str">
        <f>Subrates!C113</f>
        <v>Horizontal, Steel, Closed top, Skid, Single skin, Not lined, 5 kL</v>
      </c>
      <c r="C19" s="562" t="s">
        <v>261</v>
      </c>
      <c r="D19" s="90">
        <f>VLOOKUP(B19,tank_list_values,Subrates!$D$1,FALSE)</f>
        <v>1506.7209084856615</v>
      </c>
      <c r="E19" s="52"/>
      <c r="F19" s="52"/>
      <c r="G19" s="52"/>
      <c r="H19" s="52"/>
      <c r="I19" s="52"/>
      <c r="J19" s="52"/>
      <c r="K19" s="52"/>
      <c r="L19" s="52"/>
      <c r="M19" s="52"/>
      <c r="N19" s="52"/>
      <c r="O19" s="624"/>
      <c r="P19" s="624"/>
      <c r="Q19" s="624"/>
    </row>
    <row r="20" spans="1:17" s="496" customFormat="1" ht="16.350000000000001" customHeight="1">
      <c r="A20" s="526">
        <f t="shared" si="1"/>
        <v>14</v>
      </c>
      <c r="B20" s="599" t="str">
        <f>Subrates!C114</f>
        <v>Horizontal, Steel, Closed top, Skid, Single skin, Not lined, 10 kL</v>
      </c>
      <c r="C20" s="562" t="s">
        <v>261</v>
      </c>
      <c r="D20" s="90">
        <f>VLOOKUP(B20,tank_list_values,Subrates!$D$1,FALSE)</f>
        <v>1634.387519167997</v>
      </c>
      <c r="E20" s="52"/>
      <c r="F20" s="52"/>
      <c r="G20" s="52"/>
      <c r="H20" s="52"/>
      <c r="I20" s="52"/>
      <c r="J20" s="52"/>
      <c r="K20" s="52"/>
      <c r="L20" s="52"/>
      <c r="M20" s="52"/>
      <c r="N20" s="52"/>
      <c r="O20" s="624"/>
      <c r="P20" s="624"/>
      <c r="Q20" s="624"/>
    </row>
    <row r="21" spans="1:17" s="496" customFormat="1" ht="16.350000000000001" customHeight="1">
      <c r="A21" s="526">
        <f t="shared" si="1"/>
        <v>15</v>
      </c>
      <c r="B21" s="599" t="str">
        <f>Subrates!C115</f>
        <v>Horizontal, Steel, Closed top, Skid, Single skin, Not lined, 20 kL</v>
      </c>
      <c r="C21" s="562" t="s">
        <v>261</v>
      </c>
      <c r="D21" s="90">
        <f>VLOOKUP(B21,tank_list_values,Subrates!$D$1,FALSE)</f>
        <v>1847.0025288872246</v>
      </c>
      <c r="E21" s="52"/>
      <c r="F21" s="52"/>
      <c r="G21" s="52"/>
      <c r="H21" s="52"/>
      <c r="I21" s="52"/>
      <c r="J21" s="52"/>
      <c r="K21" s="52"/>
      <c r="L21" s="52"/>
      <c r="M21" s="52"/>
      <c r="N21" s="52"/>
      <c r="O21" s="624">
        <v>2</v>
      </c>
      <c r="P21" s="624"/>
      <c r="Q21" s="624"/>
    </row>
    <row r="22" spans="1:17" s="496" customFormat="1" ht="16.350000000000001" customHeight="1">
      <c r="A22" s="526">
        <f t="shared" si="1"/>
        <v>16</v>
      </c>
      <c r="B22" s="599" t="str">
        <f>Subrates!C116</f>
        <v>Horizontal, Steel, Closed top, Skid, Single skin, Not lined, 30 kL</v>
      </c>
      <c r="C22" s="562" t="s">
        <v>261</v>
      </c>
      <c r="D22" s="90">
        <f>VLOOKUP(B22,tank_list_values,Subrates!$D$1,FALSE)</f>
        <v>1917.6315847134188</v>
      </c>
      <c r="E22" s="52"/>
      <c r="F22" s="52"/>
      <c r="G22" s="52"/>
      <c r="H22" s="52"/>
      <c r="I22" s="52"/>
      <c r="J22" s="52"/>
      <c r="K22" s="52"/>
      <c r="L22" s="52"/>
      <c r="M22" s="52"/>
      <c r="N22" s="52"/>
      <c r="O22" s="624"/>
      <c r="P22" s="624"/>
      <c r="Q22" s="624"/>
    </row>
    <row r="23" spans="1:17" s="496" customFormat="1" ht="16.350000000000001" customHeight="1">
      <c r="A23" s="526">
        <f t="shared" si="1"/>
        <v>17</v>
      </c>
      <c r="B23" s="599" t="str">
        <f>Subrates!C117</f>
        <v>Horizontal, Steel, Closed top, Skid, Single skin, Not lined, 40 kL</v>
      </c>
      <c r="C23" s="562" t="s">
        <v>261</v>
      </c>
      <c r="D23" s="90">
        <f>VLOOKUP(B23,tank_list_values,Subrates!$D$1,FALSE)</f>
        <v>2122.3180286211987</v>
      </c>
      <c r="E23" s="52"/>
      <c r="F23" s="52"/>
      <c r="G23" s="52"/>
      <c r="H23" s="52"/>
      <c r="I23" s="52"/>
      <c r="J23" s="52"/>
      <c r="K23" s="52"/>
      <c r="L23" s="52"/>
      <c r="M23" s="52"/>
      <c r="N23" s="52"/>
      <c r="O23" s="624"/>
      <c r="P23" s="624"/>
      <c r="Q23" s="624"/>
    </row>
    <row r="24" spans="1:17" s="496" customFormat="1" ht="16.350000000000001" customHeight="1">
      <c r="A24" s="526">
        <f t="shared" si="1"/>
        <v>18</v>
      </c>
      <c r="B24" s="599" t="str">
        <f>Subrates!C118</f>
        <v>Horizontal, Steel, Closed top, Skid, Single skin, Not lined, 50 kL</v>
      </c>
      <c r="C24" s="562" t="s">
        <v>261</v>
      </c>
      <c r="D24" s="90">
        <f>VLOOKUP(B24,tank_list_values,Subrates!$D$1,FALSE)</f>
        <v>2282.5074195055486</v>
      </c>
      <c r="E24" s="52"/>
      <c r="F24" s="52"/>
      <c r="G24" s="52"/>
      <c r="H24" s="52"/>
      <c r="I24" s="52"/>
      <c r="J24" s="52"/>
      <c r="K24" s="52"/>
      <c r="L24" s="52"/>
      <c r="M24" s="52"/>
      <c r="N24" s="52"/>
      <c r="O24" s="624"/>
      <c r="P24" s="624"/>
      <c r="Q24" s="624"/>
    </row>
    <row r="25" spans="1:17" s="496" customFormat="1" ht="16.350000000000001" customHeight="1">
      <c r="A25" s="526">
        <f t="shared" si="1"/>
        <v>19</v>
      </c>
      <c r="B25" s="599" t="str">
        <f>Subrates!C119</f>
        <v>Horizontal, Steel, Closed top, Skid, Single skin, Not lined, 55 kL</v>
      </c>
      <c r="C25" s="562" t="s">
        <v>261</v>
      </c>
      <c r="D25" s="90">
        <f>VLOOKUP(B25,tank_list_values,Subrates!$D$1,FALSE)</f>
        <v>2335.9038831336647</v>
      </c>
      <c r="E25" s="52"/>
      <c r="F25" s="52"/>
      <c r="G25" s="52"/>
      <c r="H25" s="52"/>
      <c r="I25" s="52"/>
      <c r="J25" s="52"/>
      <c r="K25" s="52"/>
      <c r="L25" s="52"/>
      <c r="M25" s="52"/>
      <c r="N25" s="52"/>
      <c r="O25" s="624"/>
      <c r="P25" s="624"/>
      <c r="Q25" s="624"/>
    </row>
    <row r="26" spans="1:17" s="496" customFormat="1" ht="16.350000000000001" customHeight="1">
      <c r="A26" s="526">
        <f t="shared" si="1"/>
        <v>20</v>
      </c>
      <c r="B26" s="599" t="str">
        <f>Subrates!C120</f>
        <v>Horizontal, Steel, Closed top, Skid, Single skin, Not lined, 70 kL</v>
      </c>
      <c r="C26" s="562" t="s">
        <v>261</v>
      </c>
      <c r="D26" s="90">
        <f>VLOOKUP(B26,tank_list_values,Subrates!$D$1,FALSE)</f>
        <v>2549.4897376461308</v>
      </c>
      <c r="E26" s="52"/>
      <c r="F26" s="52"/>
      <c r="G26" s="52"/>
      <c r="H26" s="52"/>
      <c r="I26" s="52"/>
      <c r="J26" s="52"/>
      <c r="K26" s="52"/>
      <c r="L26" s="52"/>
      <c r="M26" s="52"/>
      <c r="N26" s="52"/>
      <c r="O26" s="624"/>
      <c r="P26" s="624"/>
      <c r="Q26" s="624"/>
    </row>
    <row r="27" spans="1:17" s="496" customFormat="1" ht="16.350000000000001" customHeight="1">
      <c r="A27" s="526">
        <f t="shared" si="1"/>
        <v>21</v>
      </c>
      <c r="B27" s="599" t="str">
        <f>Subrates!C121</f>
        <v>Horizontal, Steel, Closed top, Skid, Single skin, Not lined, 90 kL</v>
      </c>
      <c r="C27" s="562" t="s">
        <v>261</v>
      </c>
      <c r="D27" s="90">
        <f>VLOOKUP(B27,tank_list_values,Subrates!$D$1,FALSE)</f>
        <v>2653.1122286992363</v>
      </c>
      <c r="E27" s="52"/>
      <c r="F27" s="52"/>
      <c r="G27" s="52"/>
      <c r="H27" s="52"/>
      <c r="I27" s="52"/>
      <c r="J27" s="52"/>
      <c r="K27" s="52"/>
      <c r="L27" s="52"/>
      <c r="M27" s="52"/>
      <c r="N27" s="52"/>
      <c r="O27" s="624"/>
      <c r="P27" s="624"/>
      <c r="Q27" s="624"/>
    </row>
    <row r="28" spans="1:17" s="496" customFormat="1" ht="16.350000000000001" customHeight="1">
      <c r="A28" s="526">
        <f t="shared" si="1"/>
        <v>22</v>
      </c>
      <c r="B28" s="599" t="str">
        <f>Subrates!C122</f>
        <v>Horizontal, Steel, Closed top, Skid, Single skin, Not lined, 110 kL</v>
      </c>
      <c r="C28" s="562" t="s">
        <v>261</v>
      </c>
      <c r="D28" s="90">
        <f>VLOOKUP(B28,tank_list_values,Subrates!$D$1,FALSE)</f>
        <v>2855.2421146514889</v>
      </c>
      <c r="E28" s="52"/>
      <c r="F28" s="52"/>
      <c r="G28" s="52"/>
      <c r="H28" s="52"/>
      <c r="I28" s="52"/>
      <c r="J28" s="52"/>
      <c r="K28" s="52"/>
      <c r="L28" s="52"/>
      <c r="M28" s="52"/>
      <c r="N28" s="52"/>
      <c r="O28" s="624"/>
      <c r="P28" s="624"/>
      <c r="Q28" s="624"/>
    </row>
    <row r="29" spans="1:17" s="496" customFormat="1" ht="16.350000000000001" customHeight="1">
      <c r="A29" s="526">
        <f t="shared" si="1"/>
        <v>23</v>
      </c>
      <c r="B29" s="599" t="str">
        <f>Subrates!C123</f>
        <v>Vertical, Steel, Closed top, Steel, Single skin, Not lined, 100 kL</v>
      </c>
      <c r="C29" s="562" t="s">
        <v>261</v>
      </c>
      <c r="D29" s="90">
        <f>VLOOKUP(B29,tank_list_values,Subrates!$D$1,FALSE)</f>
        <v>5033.5089489912616</v>
      </c>
      <c r="E29" s="52"/>
      <c r="F29" s="52"/>
      <c r="G29" s="52"/>
      <c r="H29" s="52"/>
      <c r="I29" s="52"/>
      <c r="J29" s="52"/>
      <c r="K29" s="52"/>
      <c r="L29" s="52"/>
      <c r="M29" s="52"/>
      <c r="N29" s="52"/>
      <c r="O29" s="624"/>
      <c r="P29" s="624"/>
      <c r="Q29" s="624"/>
    </row>
    <row r="30" spans="1:17" s="496" customFormat="1" ht="16.350000000000001" customHeight="1">
      <c r="A30" s="526">
        <f t="shared" si="1"/>
        <v>24</v>
      </c>
      <c r="B30" s="599" t="str">
        <f>Subrates!C124</f>
        <v>Vertical, Steel, Closed top, Steel, Single skin, Not lined, 200 kL</v>
      </c>
      <c r="C30" s="562" t="s">
        <v>261</v>
      </c>
      <c r="D30" s="90">
        <f>VLOOKUP(B30,tank_list_values,Subrates!$D$1,FALSE)</f>
        <v>6361.7169861420043</v>
      </c>
      <c r="E30" s="52"/>
      <c r="F30" s="52"/>
      <c r="G30" s="52"/>
      <c r="H30" s="52"/>
      <c r="I30" s="52"/>
      <c r="J30" s="52"/>
      <c r="K30" s="52"/>
      <c r="L30" s="52"/>
      <c r="M30" s="52"/>
      <c r="N30" s="52"/>
      <c r="O30" s="624"/>
      <c r="P30" s="624"/>
      <c r="Q30" s="624"/>
    </row>
    <row r="31" spans="1:17" s="496" customFormat="1" ht="16.350000000000001" customHeight="1">
      <c r="A31" s="526">
        <f t="shared" si="1"/>
        <v>25</v>
      </c>
      <c r="B31" s="599" t="str">
        <f>Subrates!C125</f>
        <v>Vertical, Steel, Closed top, Steel, Single skin, Not lined, 300 kL</v>
      </c>
      <c r="C31" s="562" t="s">
        <v>261</v>
      </c>
      <c r="D31" s="90">
        <f>VLOOKUP(B31,tank_list_values,Subrates!$D$1,FALSE)</f>
        <v>7887.3179777047944</v>
      </c>
      <c r="E31" s="52"/>
      <c r="F31" s="52"/>
      <c r="G31" s="52"/>
      <c r="H31" s="52"/>
      <c r="I31" s="52"/>
      <c r="J31" s="52"/>
      <c r="K31" s="52"/>
      <c r="L31" s="52"/>
      <c r="M31" s="52"/>
      <c r="N31" s="52"/>
      <c r="O31" s="624"/>
      <c r="P31" s="624"/>
      <c r="Q31" s="624"/>
    </row>
    <row r="32" spans="1:17" s="496" customFormat="1" ht="16.350000000000001" customHeight="1">
      <c r="A32" s="526">
        <f t="shared" si="1"/>
        <v>26</v>
      </c>
      <c r="B32" s="599" t="str">
        <f>Subrates!C126</f>
        <v>Vertical, Steel, Closed top, Steel, Single skin, Not lined, 500 kL</v>
      </c>
      <c r="C32" s="562" t="s">
        <v>261</v>
      </c>
      <c r="D32" s="90">
        <f>VLOOKUP(B32,tank_list_values,Subrates!$D$1,FALSE)</f>
        <v>11733.126506088049</v>
      </c>
      <c r="E32" s="52"/>
      <c r="F32" s="52"/>
      <c r="G32" s="52"/>
      <c r="H32" s="52"/>
      <c r="I32" s="52"/>
      <c r="J32" s="52"/>
      <c r="K32" s="52"/>
      <c r="L32" s="52"/>
      <c r="M32" s="52"/>
      <c r="N32" s="52"/>
      <c r="O32" s="624"/>
      <c r="P32" s="624"/>
      <c r="Q32" s="624"/>
    </row>
    <row r="33" spans="1:17" s="496" customFormat="1" ht="16.350000000000001" customHeight="1">
      <c r="A33" s="526">
        <f t="shared" si="1"/>
        <v>27</v>
      </c>
      <c r="B33" s="599" t="str">
        <f>Subrates!C127</f>
        <v>Vertical, Steel, Closed top, Steel, Single skin, Not lined, 1000 kL</v>
      </c>
      <c r="C33" s="562" t="s">
        <v>261</v>
      </c>
      <c r="D33" s="90">
        <f>VLOOKUP(B33,tank_list_values,Subrates!$D$1,FALSE)</f>
        <v>16420.06905489269</v>
      </c>
      <c r="E33" s="52"/>
      <c r="F33" s="52"/>
      <c r="G33" s="52"/>
      <c r="H33" s="52"/>
      <c r="I33" s="52"/>
      <c r="J33" s="52"/>
      <c r="K33" s="52"/>
      <c r="L33" s="52"/>
      <c r="M33" s="52"/>
      <c r="N33" s="52"/>
      <c r="O33" s="624"/>
      <c r="P33" s="624"/>
      <c r="Q33" s="624"/>
    </row>
    <row r="34" spans="1:17" s="496" customFormat="1" ht="16.350000000000001" customHeight="1">
      <c r="A34" s="526">
        <f t="shared" si="1"/>
        <v>28</v>
      </c>
      <c r="B34" s="599" t="str">
        <f>Subrates!C128</f>
        <v>Vertical, Steel, Closed top, Steel, Single skin, Not lined, 2000 kL</v>
      </c>
      <c r="C34" s="562" t="s">
        <v>261</v>
      </c>
      <c r="D34" s="90">
        <f>VLOOKUP(B34,tank_list_values,Subrates!$D$1,FALSE)</f>
        <v>23031.099576222729</v>
      </c>
      <c r="E34" s="52"/>
      <c r="F34" s="52"/>
      <c r="G34" s="52"/>
      <c r="H34" s="52"/>
      <c r="I34" s="52"/>
      <c r="J34" s="52"/>
      <c r="K34" s="52"/>
      <c r="L34" s="52"/>
      <c r="M34" s="52"/>
      <c r="N34" s="52"/>
      <c r="O34" s="624"/>
      <c r="P34" s="624">
        <v>2</v>
      </c>
      <c r="Q34" s="624">
        <v>2</v>
      </c>
    </row>
    <row r="35" spans="1:17" s="496" customFormat="1" ht="16.350000000000001" customHeight="1">
      <c r="A35" s="526">
        <f t="shared" si="1"/>
        <v>29</v>
      </c>
      <c r="B35" s="599" t="str">
        <f>Subrates!C129</f>
        <v>Vertical, Steel, Closed top, Steel, Single skin, Not lined, 3000 kL</v>
      </c>
      <c r="C35" s="562" t="s">
        <v>261</v>
      </c>
      <c r="D35" s="90">
        <f>VLOOKUP(B35,tank_list_values,Subrates!$D$1,FALSE)</f>
        <v>29676.737664114116</v>
      </c>
      <c r="E35" s="52"/>
      <c r="F35" s="52"/>
      <c r="G35" s="52"/>
      <c r="H35" s="52"/>
      <c r="I35" s="52"/>
      <c r="J35" s="52"/>
      <c r="K35" s="52"/>
      <c r="L35" s="52"/>
      <c r="M35" s="52"/>
      <c r="N35" s="52"/>
      <c r="O35" s="624"/>
      <c r="P35" s="624"/>
      <c r="Q35" s="624"/>
    </row>
    <row r="36" spans="1:17" s="496" customFormat="1" ht="16.350000000000001" customHeight="1">
      <c r="A36" s="526">
        <f t="shared" si="1"/>
        <v>30</v>
      </c>
      <c r="B36" s="599" t="str">
        <f>Subrates!C130</f>
        <v>Vertical, Steel, Closed top, Steel, Single skin, Not lined, 5000 kL</v>
      </c>
      <c r="C36" s="562" t="s">
        <v>261</v>
      </c>
      <c r="D36" s="90">
        <f>VLOOKUP(B36,tank_list_values,Subrates!$D$1,FALSE)</f>
        <v>37677.29508255668</v>
      </c>
      <c r="E36" s="52"/>
      <c r="F36" s="52"/>
      <c r="G36" s="52"/>
      <c r="H36" s="52"/>
      <c r="I36" s="52"/>
      <c r="J36" s="52"/>
      <c r="K36" s="52"/>
      <c r="L36" s="52"/>
      <c r="M36" s="52"/>
      <c r="N36" s="52"/>
      <c r="O36" s="624"/>
      <c r="P36" s="624"/>
      <c r="Q36" s="624"/>
    </row>
    <row r="37" spans="1:17" s="496" customFormat="1" ht="16.350000000000001" customHeight="1">
      <c r="A37" s="526">
        <f t="shared" si="1"/>
        <v>31</v>
      </c>
      <c r="B37" s="599" t="str">
        <f>Subrates!C131</f>
        <v>Vertical, Steel, Closed top, Steel, Single skin, Not lined, 7500 kL</v>
      </c>
      <c r="C37" s="562" t="s">
        <v>261</v>
      </c>
      <c r="D37" s="90">
        <f>VLOOKUP(B37,tank_list_values,Subrates!$D$1,FALSE)</f>
        <v>45065.535632496736</v>
      </c>
      <c r="E37" s="52"/>
      <c r="F37" s="52"/>
      <c r="G37" s="52"/>
      <c r="H37" s="52"/>
      <c r="I37" s="52"/>
      <c r="J37" s="52"/>
      <c r="K37" s="52"/>
      <c r="L37" s="52"/>
      <c r="M37" s="52"/>
      <c r="N37" s="52"/>
      <c r="O37" s="624"/>
      <c r="P37" s="624"/>
      <c r="Q37" s="624"/>
    </row>
    <row r="38" spans="1:17" s="496" customFormat="1" ht="16.350000000000001" customHeight="1">
      <c r="A38" s="526">
        <f t="shared" si="1"/>
        <v>32</v>
      </c>
      <c r="B38" s="599" t="str">
        <f>Subrates!C132</f>
        <v>Vertical, Steel, Closed top, Steel, Single skin, Not lined, 10000 kL</v>
      </c>
      <c r="C38" s="562" t="s">
        <v>261</v>
      </c>
      <c r="D38" s="90">
        <f>VLOOKUP(B38,tank_list_values,Subrates!$D$1,FALSE)</f>
        <v>52377.107699026703</v>
      </c>
      <c r="E38" s="52"/>
      <c r="F38" s="52"/>
      <c r="G38" s="52"/>
      <c r="H38" s="52"/>
      <c r="I38" s="52"/>
      <c r="J38" s="52"/>
      <c r="K38" s="52"/>
      <c r="L38" s="52"/>
      <c r="M38" s="52"/>
      <c r="N38" s="52"/>
      <c r="O38" s="624"/>
      <c r="P38" s="624"/>
      <c r="Q38" s="624">
        <v>1</v>
      </c>
    </row>
    <row r="39" spans="1:17" s="496" customFormat="1" ht="16.350000000000001" customHeight="1">
      <c r="A39" s="526">
        <f t="shared" si="1"/>
        <v>33</v>
      </c>
      <c r="B39" s="599" t="str">
        <f>Subrates!C133</f>
        <v>Panel, Concrete, Open top, Earth, Single skin, Lined, 1.2 ML</v>
      </c>
      <c r="C39" s="562" t="s">
        <v>261</v>
      </c>
      <c r="D39" s="90">
        <f>VLOOKUP(B39,tank_list_values,Subrates!$D$1,FALSE)</f>
        <v>16194.767315026074</v>
      </c>
      <c r="E39" s="52"/>
      <c r="F39" s="52"/>
      <c r="G39" s="52"/>
      <c r="H39" s="52"/>
      <c r="I39" s="52"/>
      <c r="J39" s="52"/>
      <c r="K39" s="52"/>
      <c r="L39" s="52"/>
      <c r="M39" s="52"/>
      <c r="N39" s="52"/>
      <c r="O39" s="624"/>
      <c r="P39" s="624"/>
      <c r="Q39" s="624"/>
    </row>
    <row r="40" spans="1:17" s="496" customFormat="1" ht="16.350000000000001" customHeight="1">
      <c r="A40" s="526">
        <f t="shared" si="1"/>
        <v>34</v>
      </c>
      <c r="B40" s="599" t="str">
        <f>Subrates!C134</f>
        <v>Panel, Concrete, Open top, Earth, Single skin, Lined, 1.9 ML</v>
      </c>
      <c r="C40" s="562" t="s">
        <v>261</v>
      </c>
      <c r="D40" s="90">
        <f>VLOOKUP(B40,tank_list_values,Subrates!$D$1,FALSE)</f>
        <v>20991.691212316535</v>
      </c>
      <c r="E40" s="52"/>
      <c r="F40" s="52"/>
      <c r="G40" s="52"/>
      <c r="H40" s="52"/>
      <c r="I40" s="52"/>
      <c r="J40" s="52"/>
      <c r="K40" s="52"/>
      <c r="L40" s="52"/>
      <c r="M40" s="52"/>
      <c r="N40" s="52"/>
      <c r="O40" s="624"/>
      <c r="P40" s="624"/>
      <c r="Q40" s="624"/>
    </row>
    <row r="41" spans="1:17" s="496" customFormat="1" ht="16.350000000000001" customHeight="1">
      <c r="A41" s="526">
        <f t="shared" si="1"/>
        <v>35</v>
      </c>
      <c r="B41" s="599" t="str">
        <f>Subrates!C135</f>
        <v>Panel, Concrete, Open top, Earth, Single skin, Lined, 3.6 ML</v>
      </c>
      <c r="C41" s="562" t="s">
        <v>261</v>
      </c>
      <c r="D41" s="90">
        <f>VLOOKUP(B41,tank_list_values,Subrates!$D$1,FALSE)</f>
        <v>33305.031288593949</v>
      </c>
      <c r="E41" s="52"/>
      <c r="F41" s="52"/>
      <c r="G41" s="52"/>
      <c r="H41" s="52"/>
      <c r="I41" s="52"/>
      <c r="J41" s="52"/>
      <c r="K41" s="52"/>
      <c r="L41" s="52"/>
      <c r="M41" s="52"/>
      <c r="N41" s="52"/>
      <c r="O41" s="624"/>
      <c r="P41" s="624"/>
      <c r="Q41" s="624"/>
    </row>
    <row r="42" spans="1:17" s="496" customFormat="1" ht="16.350000000000001" customHeight="1">
      <c r="A42" s="526">
        <f t="shared" si="1"/>
        <v>36</v>
      </c>
      <c r="B42" s="599" t="str">
        <f>Subrates!C136</f>
        <v>Panel, Concrete, Open top, Earth, Single skin, Lined, 5.5 ML</v>
      </c>
      <c r="C42" s="562" t="s">
        <v>261</v>
      </c>
      <c r="D42" s="90">
        <f>VLOOKUP(B42,tank_list_values,Subrates!$D$1,FALSE)</f>
        <v>42944.557541321912</v>
      </c>
      <c r="E42" s="52"/>
      <c r="F42" s="52"/>
      <c r="G42" s="52"/>
      <c r="H42" s="52"/>
      <c r="I42" s="52"/>
      <c r="J42" s="52"/>
      <c r="K42" s="52"/>
      <c r="L42" s="52"/>
      <c r="M42" s="52"/>
      <c r="N42" s="52"/>
      <c r="O42" s="624">
        <v>1</v>
      </c>
      <c r="P42" s="624"/>
      <c r="Q42" s="624"/>
    </row>
    <row r="43" spans="1:17" s="496" customFormat="1" ht="16.350000000000001" customHeight="1">
      <c r="A43" s="526">
        <f t="shared" si="1"/>
        <v>37</v>
      </c>
      <c r="B43" s="599" t="str">
        <f>Subrates!C137</f>
        <v>Panel, Concrete, Open top, Earth, Single skin, Lined, 7.6 ML</v>
      </c>
      <c r="C43" s="562" t="s">
        <v>261</v>
      </c>
      <c r="D43" s="90">
        <f>VLOOKUP(B43,tank_list_values,Subrates!$D$1,FALSE)</f>
        <v>53399.827057057017</v>
      </c>
      <c r="E43" s="52"/>
      <c r="F43" s="52"/>
      <c r="G43" s="52"/>
      <c r="H43" s="52"/>
      <c r="I43" s="52"/>
      <c r="J43" s="52"/>
      <c r="K43" s="52"/>
      <c r="L43" s="52"/>
      <c r="M43" s="52"/>
      <c r="N43" s="52"/>
      <c r="O43" s="624"/>
      <c r="P43" s="624">
        <v>2</v>
      </c>
      <c r="Q43" s="624"/>
    </row>
    <row r="44" spans="1:17" s="496" customFormat="1" ht="16.350000000000001" customHeight="1">
      <c r="A44" s="526">
        <f t="shared" si="1"/>
        <v>38</v>
      </c>
      <c r="B44" s="599" t="str">
        <f>Subrates!C138</f>
        <v>Panel, Concrete, Open top, Earth, Single skin, Lined, 12 ML</v>
      </c>
      <c r="C44" s="562" t="s">
        <v>261</v>
      </c>
      <c r="D44" s="90">
        <f>VLOOKUP(B44,tank_list_values,Subrates!$D$1,FALSE)</f>
        <v>71989.773227964863</v>
      </c>
      <c r="E44" s="52"/>
      <c r="F44" s="52"/>
      <c r="G44" s="52"/>
      <c r="H44" s="52"/>
      <c r="I44" s="52"/>
      <c r="J44" s="52"/>
      <c r="K44" s="52"/>
      <c r="L44" s="52"/>
      <c r="M44" s="52"/>
      <c r="N44" s="52"/>
      <c r="O44" s="624"/>
      <c r="P44" s="624"/>
      <c r="Q44" s="624">
        <v>2</v>
      </c>
    </row>
    <row r="45" spans="1:17" s="496" customFormat="1" ht="16.350000000000001" customHeight="1">
      <c r="A45" s="526">
        <f t="shared" si="1"/>
        <v>39</v>
      </c>
      <c r="B45" s="599" t="str">
        <f>Subrates!C139</f>
        <v>Panel, Concrete, Open top, Earth, Single skin, Lined, 15.5 ML</v>
      </c>
      <c r="C45" s="562" t="s">
        <v>261</v>
      </c>
      <c r="D45" s="90">
        <f>VLOOKUP(B45,tank_list_values,Subrates!$D$1,FALSE)</f>
        <v>86068.567425192625</v>
      </c>
      <c r="E45" s="52"/>
      <c r="F45" s="52"/>
      <c r="G45" s="52"/>
      <c r="H45" s="52"/>
      <c r="I45" s="52"/>
      <c r="J45" s="52"/>
      <c r="K45" s="52"/>
      <c r="L45" s="52"/>
      <c r="M45" s="52"/>
      <c r="N45" s="52"/>
      <c r="O45" s="624"/>
      <c r="P45" s="624"/>
      <c r="Q45" s="624"/>
    </row>
    <row r="46" spans="1:17" s="496" customFormat="1" ht="16.350000000000001" customHeight="1">
      <c r="A46" s="526">
        <f t="shared" si="1"/>
        <v>40</v>
      </c>
      <c r="B46" s="599" t="str">
        <f>Subrates!C140</f>
        <v>Panel, Concrete, Open top, Earth, Single skin, Lined, 25 ML</v>
      </c>
      <c r="C46" s="562" t="s">
        <v>261</v>
      </c>
      <c r="D46" s="90">
        <f>VLOOKUP(B46,tank_list_values,Subrates!$D$1,FALSE)</f>
        <v>125535.85535533386</v>
      </c>
      <c r="E46" s="52"/>
      <c r="F46" s="52"/>
      <c r="G46" s="52"/>
      <c r="H46" s="52"/>
      <c r="I46" s="52"/>
      <c r="J46" s="52"/>
      <c r="K46" s="52"/>
      <c r="L46" s="52"/>
      <c r="M46" s="52"/>
      <c r="N46" s="52"/>
      <c r="O46" s="624"/>
      <c r="P46" s="624"/>
      <c r="Q46" s="624"/>
    </row>
    <row r="47" spans="1:17" s="496" customFormat="1" ht="16.350000000000001" customHeight="1">
      <c r="A47" s="526">
        <f t="shared" si="1"/>
        <v>41</v>
      </c>
      <c r="B47" s="599" t="str">
        <f>Subrates!C141</f>
        <v>Panel, Concrete, Open top, Earth, Single skin, Lined, 40 ML</v>
      </c>
      <c r="C47" s="562" t="s">
        <v>261</v>
      </c>
      <c r="D47" s="90">
        <f>VLOOKUP(B47,tank_list_values,Subrates!$D$1,FALSE)</f>
        <v>178567.55028451674</v>
      </c>
      <c r="E47" s="52"/>
      <c r="F47" s="52"/>
      <c r="G47" s="52"/>
      <c r="H47" s="52"/>
      <c r="I47" s="52"/>
      <c r="J47" s="52"/>
      <c r="K47" s="52"/>
      <c r="L47" s="52"/>
      <c r="M47" s="52"/>
      <c r="N47" s="52"/>
      <c r="O47" s="624"/>
      <c r="P47" s="624"/>
      <c r="Q47" s="624"/>
    </row>
    <row r="48" spans="1:17" s="496" customFormat="1" ht="16.350000000000001" customHeight="1">
      <c r="A48" s="526">
        <f t="shared" si="1"/>
        <v>42</v>
      </c>
      <c r="B48" s="599" t="s">
        <v>1936</v>
      </c>
      <c r="C48" s="562" t="s">
        <v>162</v>
      </c>
      <c r="D48" s="90">
        <f>Subrates!D98</f>
        <v>271.68468641694011</v>
      </c>
      <c r="E48" s="89"/>
      <c r="F48" s="89"/>
      <c r="G48" s="89"/>
      <c r="H48" s="89"/>
      <c r="I48" s="89"/>
      <c r="J48" s="89"/>
      <c r="K48" s="89"/>
      <c r="L48" s="89"/>
      <c r="M48" s="89"/>
      <c r="N48" s="89"/>
      <c r="O48" s="624"/>
      <c r="P48" s="624"/>
      <c r="Q48" s="624"/>
    </row>
    <row r="49" spans="1:17" s="496" customFormat="1" ht="16.350000000000001" customHeight="1">
      <c r="A49" s="526">
        <f t="shared" si="1"/>
        <v>43</v>
      </c>
      <c r="B49" s="599" t="s">
        <v>1928</v>
      </c>
      <c r="C49" s="562" t="s">
        <v>1929</v>
      </c>
      <c r="D49" s="625">
        <f>Subrates!D156</f>
        <v>27445.299649908924</v>
      </c>
      <c r="E49" s="52"/>
      <c r="F49" s="52"/>
      <c r="G49" s="52"/>
      <c r="H49" s="52"/>
      <c r="I49" s="52"/>
      <c r="J49" s="52"/>
      <c r="K49" s="52"/>
      <c r="L49" s="52"/>
      <c r="M49" s="52"/>
      <c r="N49" s="52"/>
      <c r="O49" s="624"/>
      <c r="P49" s="624"/>
      <c r="Q49" s="624"/>
    </row>
    <row r="50" spans="1:17" s="496" customFormat="1" ht="16.350000000000001" customHeight="1">
      <c r="A50" s="526">
        <f t="shared" si="1"/>
        <v>44</v>
      </c>
      <c r="B50" s="599" t="s">
        <v>1930</v>
      </c>
      <c r="C50" s="562" t="s">
        <v>257</v>
      </c>
      <c r="D50" s="90">
        <f>Subrates!$D$154</f>
        <v>4832.5772829736798</v>
      </c>
      <c r="E50" s="52"/>
      <c r="F50" s="52"/>
      <c r="G50" s="52"/>
      <c r="H50" s="52"/>
      <c r="I50" s="52"/>
      <c r="J50" s="52"/>
      <c r="K50" s="52"/>
      <c r="L50" s="52"/>
      <c r="M50" s="52"/>
      <c r="N50" s="52"/>
      <c r="O50" s="624"/>
      <c r="P50" s="624"/>
      <c r="Q50" s="624"/>
    </row>
    <row r="51" spans="1:17" s="496" customFormat="1" ht="16.350000000000001" customHeight="1">
      <c r="A51" s="526">
        <f t="shared" si="1"/>
        <v>45</v>
      </c>
      <c r="B51" s="599" t="str">
        <f>Subrates!C151</f>
        <v>Pumps and Controls</v>
      </c>
      <c r="C51" s="562" t="s">
        <v>80</v>
      </c>
      <c r="D51" s="90">
        <f>Subrates!D151</f>
        <v>431.16750536680615</v>
      </c>
      <c r="E51" s="89"/>
      <c r="F51" s="89"/>
      <c r="G51" s="89"/>
      <c r="H51" s="55"/>
      <c r="I51" s="55"/>
      <c r="J51" s="55"/>
      <c r="K51" s="55"/>
      <c r="L51" s="55"/>
      <c r="M51" s="55"/>
      <c r="N51" s="55"/>
      <c r="O51" s="626">
        <v>4</v>
      </c>
      <c r="P51" s="626">
        <v>8</v>
      </c>
      <c r="Q51" s="626">
        <v>12</v>
      </c>
    </row>
    <row r="52" spans="1:17" s="496" customFormat="1" ht="16.350000000000001" customHeight="1">
      <c r="A52" s="526">
        <f t="shared" si="1"/>
        <v>46</v>
      </c>
      <c r="B52" s="599" t="s">
        <v>1933</v>
      </c>
      <c r="C52" s="562" t="s">
        <v>79</v>
      </c>
      <c r="D52" s="90">
        <f>Subrates!D152</f>
        <v>23.087199820666662</v>
      </c>
      <c r="E52" s="89"/>
      <c r="F52" s="89"/>
      <c r="G52" s="89"/>
      <c r="H52" s="55"/>
      <c r="I52" s="55"/>
      <c r="J52" s="55"/>
      <c r="K52" s="55"/>
      <c r="L52" s="55"/>
      <c r="M52" s="55"/>
      <c r="N52" s="55"/>
      <c r="O52" s="626">
        <v>50</v>
      </c>
      <c r="P52" s="626">
        <v>100</v>
      </c>
      <c r="Q52" s="626">
        <v>150</v>
      </c>
    </row>
    <row r="53" spans="1:17" s="496" customFormat="1" ht="16.350000000000001" customHeight="1">
      <c r="A53" s="526">
        <f t="shared" si="1"/>
        <v>47</v>
      </c>
      <c r="B53" s="599" t="s">
        <v>259</v>
      </c>
      <c r="C53" s="562" t="s">
        <v>260</v>
      </c>
      <c r="D53" s="90">
        <f>Main!J128</f>
        <v>2255.9546194629665</v>
      </c>
      <c r="E53" s="89"/>
      <c r="F53" s="89"/>
      <c r="G53" s="89"/>
      <c r="H53" s="55"/>
      <c r="I53" s="55"/>
      <c r="J53" s="55"/>
      <c r="K53" s="55"/>
      <c r="L53" s="55"/>
      <c r="M53" s="55"/>
      <c r="N53" s="55"/>
      <c r="O53" s="626">
        <v>1</v>
      </c>
      <c r="P53" s="626">
        <v>2</v>
      </c>
      <c r="Q53" s="626">
        <v>3</v>
      </c>
    </row>
    <row r="54" spans="1:17" s="496" customFormat="1" ht="16.350000000000001" customHeight="1">
      <c r="A54" s="526">
        <f t="shared" si="1"/>
        <v>48</v>
      </c>
      <c r="B54" s="599" t="str">
        <f>Main!E123</f>
        <v>Small, Brick wall, Steel roof, Concrete floor, 1 floors</v>
      </c>
      <c r="C54" s="562" t="s">
        <v>88</v>
      </c>
      <c r="D54" s="90">
        <f>Main!J123</f>
        <v>119.70009858163799</v>
      </c>
      <c r="E54" s="89"/>
      <c r="F54" s="89"/>
      <c r="G54" s="89"/>
      <c r="H54" s="55"/>
      <c r="I54" s="55"/>
      <c r="J54" s="55"/>
      <c r="K54" s="55"/>
      <c r="L54" s="55"/>
      <c r="M54" s="55"/>
      <c r="N54" s="55"/>
      <c r="O54" s="626"/>
      <c r="P54" s="626"/>
      <c r="Q54" s="626"/>
    </row>
    <row r="55" spans="1:17" s="496" customFormat="1" ht="16.350000000000001" customHeight="1">
      <c r="A55" s="526">
        <f t="shared" si="1"/>
        <v>49</v>
      </c>
      <c r="B55" s="599" t="str">
        <f>Main!E124</f>
        <v>Large, Brick wall, Steel roof, Concrete floor, 1 floors</v>
      </c>
      <c r="C55" s="562" t="s">
        <v>88</v>
      </c>
      <c r="D55" s="90">
        <f>Main!J124</f>
        <v>71.125491669528984</v>
      </c>
      <c r="E55" s="89"/>
      <c r="F55" s="89"/>
      <c r="G55" s="89"/>
      <c r="H55" s="55"/>
      <c r="I55" s="55"/>
      <c r="J55" s="55"/>
      <c r="K55" s="55"/>
      <c r="L55" s="55"/>
      <c r="M55" s="55"/>
      <c r="N55" s="55"/>
      <c r="O55" s="626"/>
      <c r="P55" s="626"/>
      <c r="Q55" s="626"/>
    </row>
    <row r="56" spans="1:17" s="496" customFormat="1" ht="16.350000000000001" customHeight="1">
      <c r="A56" s="526">
        <f t="shared" si="1"/>
        <v>50</v>
      </c>
      <c r="B56" s="599" t="str">
        <f>Main!E125</f>
        <v>Large, Steel wall, Steel roof, Concrete floor, 1 floors</v>
      </c>
      <c r="C56" s="562" t="s">
        <v>88</v>
      </c>
      <c r="D56" s="90">
        <f>Main!J125</f>
        <v>76.221442191012642</v>
      </c>
      <c r="E56" s="89"/>
      <c r="F56" s="89"/>
      <c r="G56" s="89"/>
      <c r="H56" s="55"/>
      <c r="I56" s="55"/>
      <c r="J56" s="55"/>
      <c r="K56" s="55"/>
      <c r="L56" s="55"/>
      <c r="M56" s="55"/>
      <c r="N56" s="55"/>
      <c r="O56" s="626"/>
      <c r="P56" s="626"/>
      <c r="Q56" s="626"/>
    </row>
    <row r="57" spans="1:17" s="496" customFormat="1" ht="16.350000000000001" customHeight="1">
      <c r="A57" s="526">
        <f t="shared" si="1"/>
        <v>51</v>
      </c>
      <c r="B57" s="599" t="str">
        <f>Main!E126</f>
        <v>Small, Steel wall, Steel roof, Concrete floor, 1 floors</v>
      </c>
      <c r="C57" s="562" t="s">
        <v>88</v>
      </c>
      <c r="D57" s="90">
        <f>Main!J126</f>
        <v>127.70506187417257</v>
      </c>
      <c r="E57" s="89"/>
      <c r="F57" s="89"/>
      <c r="G57" s="89"/>
      <c r="H57" s="55"/>
      <c r="I57" s="55"/>
      <c r="J57" s="55"/>
      <c r="K57" s="55"/>
      <c r="L57" s="55"/>
      <c r="M57" s="55"/>
      <c r="N57" s="55"/>
      <c r="O57" s="626"/>
      <c r="P57" s="626"/>
      <c r="Q57" s="626"/>
    </row>
    <row r="58" spans="1:17" s="496" customFormat="1" ht="16.350000000000001" customHeight="1">
      <c r="A58" s="526">
        <f t="shared" si="1"/>
        <v>52</v>
      </c>
      <c r="B58" s="599" t="str">
        <f>Main!E127</f>
        <v>Small, Steel wall, Steel roof, Concrete floor, 2 floors</v>
      </c>
      <c r="C58" s="562" t="s">
        <v>88</v>
      </c>
      <c r="D58" s="90">
        <f>Main!J127</f>
        <v>135.91571014304981</v>
      </c>
      <c r="E58" s="89"/>
      <c r="F58" s="89"/>
      <c r="G58" s="89"/>
      <c r="H58" s="55"/>
      <c r="I58" s="55"/>
      <c r="J58" s="55"/>
      <c r="K58" s="55"/>
      <c r="L58" s="55"/>
      <c r="M58" s="55"/>
      <c r="N58" s="55"/>
      <c r="O58" s="626"/>
      <c r="P58" s="626"/>
      <c r="Q58" s="626"/>
    </row>
    <row r="59" spans="1:17" s="496" customFormat="1" ht="16.350000000000001" customHeight="1">
      <c r="A59" s="526">
        <f t="shared" si="1"/>
        <v>53</v>
      </c>
      <c r="B59" s="599" t="s">
        <v>118</v>
      </c>
      <c r="C59" s="562" t="s">
        <v>119</v>
      </c>
      <c r="D59" s="90">
        <f>Subrates!$D$38</f>
        <v>400.15945742176939</v>
      </c>
      <c r="E59" s="52">
        <f>E63</f>
        <v>0</v>
      </c>
      <c r="F59" s="52">
        <f t="shared" ref="F59:J59" si="2">F63</f>
        <v>0</v>
      </c>
      <c r="G59" s="52">
        <f t="shared" si="2"/>
        <v>0</v>
      </c>
      <c r="H59" s="55">
        <f t="shared" si="2"/>
        <v>0</v>
      </c>
      <c r="I59" s="55">
        <f t="shared" si="2"/>
        <v>0</v>
      </c>
      <c r="J59" s="55">
        <f t="shared" si="2"/>
        <v>0</v>
      </c>
      <c r="K59" s="55">
        <f t="shared" ref="K59:N59" si="3">K63</f>
        <v>0</v>
      </c>
      <c r="L59" s="55">
        <f t="shared" si="3"/>
        <v>0</v>
      </c>
      <c r="M59" s="55">
        <f t="shared" si="3"/>
        <v>0</v>
      </c>
      <c r="N59" s="55">
        <f t="shared" si="3"/>
        <v>0</v>
      </c>
      <c r="O59" s="624">
        <f>SUM(O61:O63)</f>
        <v>1</v>
      </c>
      <c r="P59" s="624">
        <f t="shared" ref="P59:Q59" si="4">SUM(P61:P63)</f>
        <v>1.5</v>
      </c>
      <c r="Q59" s="624">
        <f t="shared" si="4"/>
        <v>2</v>
      </c>
    </row>
    <row r="60" spans="1:17" s="496" customFormat="1" ht="16.350000000000001" customHeight="1">
      <c r="A60" s="526">
        <f t="shared" si="1"/>
        <v>54</v>
      </c>
      <c r="B60" s="599" t="s">
        <v>1937</v>
      </c>
      <c r="C60" s="562" t="s">
        <v>15</v>
      </c>
      <c r="D60" s="90">
        <f>Subrates!D11</f>
        <v>3.6040593856905492</v>
      </c>
      <c r="E60" s="89">
        <f>SUM(E61:E63)*10000*Assumptions!$E$115/1000</f>
        <v>0</v>
      </c>
      <c r="F60" s="89">
        <f>SUM(F61:F63)*10000*Assumptions!$E$115/1000</f>
        <v>0</v>
      </c>
      <c r="G60" s="89">
        <f>SUM(G61:G63)*10000*Assumptions!$E$115/1000</f>
        <v>0</v>
      </c>
      <c r="H60" s="55">
        <f>SUM(H61:H63)*10000*Assumptions!$E$115/1000</f>
        <v>0</v>
      </c>
      <c r="I60" s="55">
        <f>SUM(I61:I63)*10000*Assumptions!$E$115/1000</f>
        <v>0</v>
      </c>
      <c r="J60" s="55">
        <f>SUM(J61:J63)*10000*Assumptions!$E$115/1000</f>
        <v>0</v>
      </c>
      <c r="K60" s="55">
        <f>SUM(K61:K63)*10000*Assumptions!$E$115/1000</f>
        <v>0</v>
      </c>
      <c r="L60" s="55">
        <f>SUM(L61:L63)*10000*Assumptions!$E$115/1000</f>
        <v>0</v>
      </c>
      <c r="M60" s="55">
        <f>SUM(M61:M63)*10000*Assumptions!$E$115/1000</f>
        <v>0</v>
      </c>
      <c r="N60" s="55">
        <f>SUM(N61:N63)*10000*Assumptions!$E$115/1000</f>
        <v>0</v>
      </c>
      <c r="O60" s="626">
        <f>SUM(O61:O62)*10000*Assumptions!$E$115/1000</f>
        <v>1500</v>
      </c>
      <c r="P60" s="626">
        <f>SUM(P61:P62)*10000*Assumptions!$E$115/1000</f>
        <v>2250</v>
      </c>
      <c r="Q60" s="626">
        <f>SUM(Q61:Q62)*10000*Assumptions!$E$115/1000</f>
        <v>3000</v>
      </c>
    </row>
    <row r="61" spans="1:17" s="496" customFormat="1" ht="16.350000000000001" customHeight="1">
      <c r="A61" s="526">
        <f t="shared" si="1"/>
        <v>55</v>
      </c>
      <c r="B61" s="599" t="s">
        <v>1938</v>
      </c>
      <c r="C61" s="562" t="s">
        <v>119</v>
      </c>
      <c r="D61" s="90">
        <f>pasture</f>
        <v>1655.5</v>
      </c>
      <c r="E61" s="52"/>
      <c r="F61" s="52"/>
      <c r="G61" s="52"/>
      <c r="H61" s="55"/>
      <c r="I61" s="55"/>
      <c r="J61" s="55"/>
      <c r="K61" s="55"/>
      <c r="L61" s="55"/>
      <c r="M61" s="55"/>
      <c r="N61" s="55"/>
      <c r="O61" s="624">
        <f>100*100/10000*50%</f>
        <v>0.5</v>
      </c>
      <c r="P61" s="624">
        <f>150*100/10000*50%</f>
        <v>0.75</v>
      </c>
      <c r="Q61" s="624">
        <f>200*100/10000*50%</f>
        <v>1</v>
      </c>
    </row>
    <row r="62" spans="1:17" s="496" customFormat="1" ht="16.350000000000001" customHeight="1">
      <c r="A62" s="526">
        <f t="shared" si="1"/>
        <v>56</v>
      </c>
      <c r="B62" s="599" t="s">
        <v>1939</v>
      </c>
      <c r="C62" s="562" t="s">
        <v>119</v>
      </c>
      <c r="D62" s="90">
        <f>native</f>
        <v>4196.5</v>
      </c>
      <c r="E62" s="52"/>
      <c r="F62" s="52"/>
      <c r="G62" s="52"/>
      <c r="H62" s="55"/>
      <c r="I62" s="55"/>
      <c r="J62" s="55"/>
      <c r="K62" s="55"/>
      <c r="L62" s="55"/>
      <c r="M62" s="55"/>
      <c r="N62" s="55"/>
      <c r="O62" s="624">
        <f>O61</f>
        <v>0.5</v>
      </c>
      <c r="P62" s="624">
        <f>P61</f>
        <v>0.75</v>
      </c>
      <c r="Q62" s="624">
        <f>Q61</f>
        <v>1</v>
      </c>
    </row>
    <row r="63" spans="1:17" s="496" customFormat="1" ht="16.350000000000001" customHeight="1">
      <c r="A63" s="526">
        <f t="shared" si="1"/>
        <v>57</v>
      </c>
      <c r="B63" s="599" t="s">
        <v>1940</v>
      </c>
      <c r="C63" s="562" t="s">
        <v>119</v>
      </c>
      <c r="D63" s="90">
        <f>arid</f>
        <v>0</v>
      </c>
      <c r="E63" s="52"/>
      <c r="F63" s="52"/>
      <c r="G63" s="52"/>
      <c r="H63" s="55"/>
      <c r="I63" s="55"/>
      <c r="J63" s="55"/>
      <c r="K63" s="55"/>
      <c r="L63" s="55"/>
      <c r="M63" s="55"/>
      <c r="N63" s="55"/>
      <c r="O63" s="624"/>
      <c r="P63" s="624"/>
      <c r="Q63" s="624"/>
    </row>
    <row r="64" spans="1:17" s="496" customFormat="1">
      <c r="A64" s="526">
        <f>A63+1</f>
        <v>58</v>
      </c>
      <c r="B64" s="140" t="s">
        <v>1981</v>
      </c>
      <c r="C64" s="604"/>
      <c r="D64" s="605"/>
      <c r="E64" s="52"/>
      <c r="F64" s="52"/>
      <c r="G64" s="52"/>
      <c r="H64" s="55"/>
      <c r="I64" s="55"/>
      <c r="J64" s="55"/>
      <c r="K64" s="55"/>
      <c r="L64" s="55"/>
      <c r="M64" s="55"/>
      <c r="N64" s="55"/>
      <c r="O64" s="624"/>
      <c r="P64" s="624"/>
      <c r="Q64" s="624"/>
    </row>
    <row r="65" spans="1:19" s="496" customFormat="1">
      <c r="A65" s="526">
        <f t="shared" si="1"/>
        <v>59</v>
      </c>
      <c r="B65" s="140" t="s">
        <v>1981</v>
      </c>
      <c r="C65" s="604"/>
      <c r="D65" s="605"/>
      <c r="E65" s="52"/>
      <c r="F65" s="52"/>
      <c r="G65" s="52"/>
      <c r="H65" s="55"/>
      <c r="I65" s="55"/>
      <c r="J65" s="55"/>
      <c r="K65" s="55"/>
      <c r="L65" s="55"/>
      <c r="M65" s="55"/>
      <c r="N65" s="55"/>
      <c r="O65" s="624"/>
      <c r="P65" s="624"/>
      <c r="Q65" s="624"/>
    </row>
    <row r="66" spans="1:19" s="496" customFormat="1">
      <c r="A66" s="526">
        <f t="shared" si="1"/>
        <v>60</v>
      </c>
      <c r="B66" s="140" t="s">
        <v>1981</v>
      </c>
      <c r="C66" s="604"/>
      <c r="D66" s="605"/>
      <c r="E66" s="52"/>
      <c r="F66" s="52"/>
      <c r="G66" s="52"/>
      <c r="H66" s="55"/>
      <c r="I66" s="55"/>
      <c r="J66" s="55"/>
      <c r="K66" s="55"/>
      <c r="L66" s="55"/>
      <c r="M66" s="55"/>
      <c r="N66" s="55"/>
      <c r="O66" s="624"/>
      <c r="P66" s="624"/>
      <c r="Q66" s="624"/>
    </row>
    <row r="67" spans="1:19" s="496" customFormat="1">
      <c r="A67" s="526">
        <f t="shared" si="1"/>
        <v>61</v>
      </c>
      <c r="B67" s="140" t="s">
        <v>1981</v>
      </c>
      <c r="C67" s="604"/>
      <c r="D67" s="605"/>
      <c r="E67" s="52"/>
      <c r="F67" s="52"/>
      <c r="G67" s="52"/>
      <c r="H67" s="55"/>
      <c r="I67" s="55"/>
      <c r="J67" s="55"/>
      <c r="K67" s="55"/>
      <c r="L67" s="55"/>
      <c r="M67" s="55"/>
      <c r="N67" s="55"/>
      <c r="O67" s="624"/>
      <c r="P67" s="624"/>
      <c r="Q67" s="624"/>
    </row>
    <row r="68" spans="1:19" s="496" customFormat="1">
      <c r="A68" s="526">
        <f t="shared" si="1"/>
        <v>62</v>
      </c>
      <c r="B68" s="140" t="s">
        <v>1981</v>
      </c>
      <c r="C68" s="604"/>
      <c r="D68" s="605"/>
      <c r="E68" s="52"/>
      <c r="F68" s="52"/>
      <c r="G68" s="52"/>
      <c r="H68" s="55"/>
      <c r="I68" s="55"/>
      <c r="J68" s="55"/>
      <c r="K68" s="55"/>
      <c r="L68" s="55"/>
      <c r="M68" s="55"/>
      <c r="N68" s="55"/>
      <c r="O68" s="624"/>
      <c r="P68" s="624"/>
      <c r="Q68" s="624"/>
    </row>
    <row r="69" spans="1:19" s="496" customFormat="1">
      <c r="A69" s="526">
        <f t="shared" si="1"/>
        <v>63</v>
      </c>
      <c r="B69" s="140" t="s">
        <v>1981</v>
      </c>
      <c r="C69" s="604"/>
      <c r="D69" s="605"/>
      <c r="E69" s="52"/>
      <c r="F69" s="52"/>
      <c r="G69" s="52"/>
      <c r="H69" s="55"/>
      <c r="I69" s="55"/>
      <c r="J69" s="55"/>
      <c r="K69" s="55"/>
      <c r="L69" s="55"/>
      <c r="M69" s="55"/>
      <c r="N69" s="55"/>
      <c r="O69" s="624"/>
      <c r="P69" s="624"/>
      <c r="Q69" s="624"/>
    </row>
    <row r="70" spans="1:19" s="496" customFormat="1">
      <c r="A70" s="526">
        <f t="shared" si="1"/>
        <v>64</v>
      </c>
      <c r="B70" s="140" t="s">
        <v>1981</v>
      </c>
      <c r="C70" s="604"/>
      <c r="D70" s="605"/>
      <c r="E70" s="52"/>
      <c r="F70" s="52"/>
      <c r="G70" s="52"/>
      <c r="H70" s="55"/>
      <c r="I70" s="55"/>
      <c r="J70" s="55"/>
      <c r="K70" s="55"/>
      <c r="L70" s="55"/>
      <c r="M70" s="55"/>
      <c r="N70" s="55"/>
      <c r="O70" s="624"/>
      <c r="P70" s="624"/>
      <c r="Q70" s="624"/>
    </row>
    <row r="71" spans="1:19" s="496" customFormat="1">
      <c r="A71" s="526">
        <f t="shared" si="1"/>
        <v>65</v>
      </c>
      <c r="B71" s="140" t="s">
        <v>1981</v>
      </c>
      <c r="C71" s="604"/>
      <c r="D71" s="605"/>
      <c r="E71" s="52"/>
      <c r="F71" s="52"/>
      <c r="G71" s="52"/>
      <c r="H71" s="55"/>
      <c r="I71" s="55"/>
      <c r="J71" s="55"/>
      <c r="K71" s="55"/>
      <c r="L71" s="55"/>
      <c r="M71" s="55"/>
      <c r="N71" s="55"/>
      <c r="O71" s="624"/>
      <c r="P71" s="624"/>
      <c r="Q71" s="624"/>
    </row>
    <row r="72" spans="1:19" s="496" customFormat="1">
      <c r="A72" s="526">
        <f t="shared" si="1"/>
        <v>66</v>
      </c>
      <c r="B72" s="140"/>
      <c r="C72" s="604"/>
      <c r="D72" s="605"/>
      <c r="E72" s="52"/>
      <c r="F72" s="52"/>
      <c r="G72" s="52"/>
      <c r="H72" s="55"/>
      <c r="I72" s="55"/>
      <c r="J72" s="55"/>
      <c r="K72" s="55"/>
      <c r="L72" s="55"/>
      <c r="M72" s="55"/>
      <c r="N72" s="55"/>
      <c r="O72" s="624"/>
      <c r="P72" s="624"/>
      <c r="Q72" s="624"/>
    </row>
    <row r="73" spans="1:19" ht="16.350000000000001" customHeight="1">
      <c r="E73" s="6"/>
      <c r="F73" s="6"/>
      <c r="G73" s="6"/>
      <c r="H73" s="6"/>
      <c r="I73" s="6"/>
      <c r="J73" s="6"/>
      <c r="K73" s="6"/>
      <c r="L73" s="6"/>
      <c r="M73" s="6"/>
      <c r="N73" s="6"/>
      <c r="O73" s="6"/>
      <c r="P73" s="6"/>
      <c r="Q73" s="6"/>
      <c r="R73" s="494"/>
      <c r="S73" s="494"/>
    </row>
    <row r="74" spans="1:19" s="496" customFormat="1" ht="16.350000000000001" customHeight="1">
      <c r="B74" s="600" t="s">
        <v>108</v>
      </c>
      <c r="C74" s="530"/>
      <c r="D74" s="530"/>
      <c r="E74" s="530"/>
      <c r="F74" s="530"/>
      <c r="G74" s="530"/>
      <c r="H74" s="530"/>
      <c r="I74" s="530"/>
      <c r="J74" s="530"/>
      <c r="K74" s="530"/>
      <c r="L74" s="530"/>
      <c r="M74" s="530"/>
      <c r="N74" s="530"/>
      <c r="O74" s="530"/>
      <c r="P74" s="530"/>
      <c r="Q74" s="530"/>
    </row>
    <row r="75" spans="1:19" s="496" customFormat="1" ht="16.350000000000001" customHeight="1">
      <c r="A75" s="526"/>
      <c r="B75" s="599" t="s">
        <v>1982</v>
      </c>
      <c r="C75" s="530"/>
      <c r="D75" s="530"/>
      <c r="E75" s="90">
        <f t="shared" ref="E75:N75" si="5">SUMPRODUCT($D7:$D48,E7:E48)</f>
        <v>0</v>
      </c>
      <c r="F75" s="90">
        <f t="shared" si="5"/>
        <v>0</v>
      </c>
      <c r="G75" s="90">
        <f t="shared" si="5"/>
        <v>0</v>
      </c>
      <c r="H75" s="90">
        <f t="shared" si="5"/>
        <v>0</v>
      </c>
      <c r="I75" s="90">
        <f t="shared" si="5"/>
        <v>0</v>
      </c>
      <c r="J75" s="90">
        <f t="shared" si="5"/>
        <v>0</v>
      </c>
      <c r="K75" s="90">
        <f t="shared" si="5"/>
        <v>0</v>
      </c>
      <c r="L75" s="90">
        <f t="shared" si="5"/>
        <v>0</v>
      </c>
      <c r="M75" s="90">
        <f t="shared" si="5"/>
        <v>0</v>
      </c>
      <c r="N75" s="90">
        <f t="shared" si="5"/>
        <v>0</v>
      </c>
      <c r="O75" s="90">
        <f>SUMPRODUCT($D7:$D47,O7:O47)</f>
        <v>46638.56259909636</v>
      </c>
      <c r="P75" s="90">
        <f>SUMPRODUCT($D7:$D47,P7:P47)</f>
        <v>152861.85326655948</v>
      </c>
      <c r="Q75" s="90">
        <f>SUMPRODUCT($D7:$D47,Q7:Q47)</f>
        <v>242418.85330740188</v>
      </c>
    </row>
    <row r="76" spans="1:19" s="496" customFormat="1" ht="16.350000000000001" customHeight="1">
      <c r="A76" s="526"/>
      <c r="B76" s="599" t="s">
        <v>1983</v>
      </c>
      <c r="C76" s="530"/>
      <c r="D76" s="530"/>
      <c r="E76" s="90">
        <f t="shared" ref="E76:N76" si="6">SUMPRODUCT($D49:$D51,E49:E51)</f>
        <v>0</v>
      </c>
      <c r="F76" s="90">
        <f t="shared" si="6"/>
        <v>0</v>
      </c>
      <c r="G76" s="90">
        <f t="shared" si="6"/>
        <v>0</v>
      </c>
      <c r="H76" s="90">
        <f t="shared" si="6"/>
        <v>0</v>
      </c>
      <c r="I76" s="90">
        <f t="shared" si="6"/>
        <v>0</v>
      </c>
      <c r="J76" s="90">
        <f t="shared" si="6"/>
        <v>0</v>
      </c>
      <c r="K76" s="90">
        <f t="shared" si="6"/>
        <v>0</v>
      </c>
      <c r="L76" s="90">
        <f t="shared" si="6"/>
        <v>0</v>
      </c>
      <c r="M76" s="90">
        <f t="shared" si="6"/>
        <v>0</v>
      </c>
      <c r="N76" s="90">
        <f t="shared" si="6"/>
        <v>0</v>
      </c>
      <c r="O76" s="90">
        <f>$D$51*O51</f>
        <v>1724.6700214672246</v>
      </c>
      <c r="P76" s="90">
        <f>$D$51*P51</f>
        <v>3449.3400429344492</v>
      </c>
      <c r="Q76" s="90">
        <f>$D$51*Q51</f>
        <v>5174.0100644016738</v>
      </c>
    </row>
    <row r="77" spans="1:19" s="496" customFormat="1" ht="16.350000000000001" customHeight="1">
      <c r="A77" s="526"/>
      <c r="B77" s="599" t="s">
        <v>1947</v>
      </c>
      <c r="C77" s="530"/>
      <c r="D77" s="530"/>
      <c r="E77" s="90">
        <f t="shared" ref="E77:Q77" si="7">$D$52*E52</f>
        <v>0</v>
      </c>
      <c r="F77" s="90">
        <f t="shared" si="7"/>
        <v>0</v>
      </c>
      <c r="G77" s="90">
        <f t="shared" si="7"/>
        <v>0</v>
      </c>
      <c r="H77" s="90">
        <f t="shared" si="7"/>
        <v>0</v>
      </c>
      <c r="I77" s="90">
        <f t="shared" si="7"/>
        <v>0</v>
      </c>
      <c r="J77" s="90">
        <f t="shared" si="7"/>
        <v>0</v>
      </c>
      <c r="K77" s="90">
        <f t="shared" si="7"/>
        <v>0</v>
      </c>
      <c r="L77" s="90">
        <f t="shared" si="7"/>
        <v>0</v>
      </c>
      <c r="M77" s="90">
        <f t="shared" si="7"/>
        <v>0</v>
      </c>
      <c r="N77" s="90">
        <f t="shared" si="7"/>
        <v>0</v>
      </c>
      <c r="O77" s="90">
        <f t="shared" si="7"/>
        <v>1154.359991033333</v>
      </c>
      <c r="P77" s="90">
        <f t="shared" si="7"/>
        <v>2308.719982066666</v>
      </c>
      <c r="Q77" s="90">
        <f t="shared" si="7"/>
        <v>3463.0799730999993</v>
      </c>
    </row>
    <row r="78" spans="1:19" s="496" customFormat="1" ht="16.350000000000001" customHeight="1">
      <c r="A78" s="526"/>
      <c r="B78" s="599" t="s">
        <v>1948</v>
      </c>
      <c r="C78" s="530"/>
      <c r="D78" s="530"/>
      <c r="E78" s="90">
        <f t="shared" ref="E78:Q78" si="8">E53*$D53</f>
        <v>0</v>
      </c>
      <c r="F78" s="90">
        <f t="shared" si="8"/>
        <v>0</v>
      </c>
      <c r="G78" s="90">
        <f t="shared" si="8"/>
        <v>0</v>
      </c>
      <c r="H78" s="90">
        <f t="shared" si="8"/>
        <v>0</v>
      </c>
      <c r="I78" s="90">
        <f t="shared" si="8"/>
        <v>0</v>
      </c>
      <c r="J78" s="90">
        <f t="shared" si="8"/>
        <v>0</v>
      </c>
      <c r="K78" s="90">
        <f t="shared" si="8"/>
        <v>0</v>
      </c>
      <c r="L78" s="90">
        <f t="shared" si="8"/>
        <v>0</v>
      </c>
      <c r="M78" s="90">
        <f t="shared" si="8"/>
        <v>0</v>
      </c>
      <c r="N78" s="90">
        <f t="shared" si="8"/>
        <v>0</v>
      </c>
      <c r="O78" s="90">
        <f t="shared" si="8"/>
        <v>2255.9546194629665</v>
      </c>
      <c r="P78" s="90">
        <f t="shared" si="8"/>
        <v>4511.9092389259331</v>
      </c>
      <c r="Q78" s="90">
        <f t="shared" si="8"/>
        <v>6767.8638583888996</v>
      </c>
    </row>
    <row r="79" spans="1:19" s="496" customFormat="1" ht="16.350000000000001" customHeight="1">
      <c r="A79" s="526"/>
      <c r="B79" s="599" t="s">
        <v>1949</v>
      </c>
      <c r="C79" s="530"/>
      <c r="D79" s="530"/>
      <c r="E79" s="90">
        <f t="shared" ref="E79:Q79" si="9">SUMPRODUCT(E54:E58,$D54:$D58)</f>
        <v>0</v>
      </c>
      <c r="F79" s="90">
        <f t="shared" si="9"/>
        <v>0</v>
      </c>
      <c r="G79" s="90">
        <f t="shared" si="9"/>
        <v>0</v>
      </c>
      <c r="H79" s="90">
        <f t="shared" si="9"/>
        <v>0</v>
      </c>
      <c r="I79" s="90">
        <f t="shared" si="9"/>
        <v>0</v>
      </c>
      <c r="J79" s="90">
        <f t="shared" si="9"/>
        <v>0</v>
      </c>
      <c r="K79" s="90">
        <f t="shared" si="9"/>
        <v>0</v>
      </c>
      <c r="L79" s="90">
        <f t="shared" si="9"/>
        <v>0</v>
      </c>
      <c r="M79" s="90">
        <f t="shared" si="9"/>
        <v>0</v>
      </c>
      <c r="N79" s="90">
        <f t="shared" si="9"/>
        <v>0</v>
      </c>
      <c r="O79" s="90">
        <f t="shared" si="9"/>
        <v>0</v>
      </c>
      <c r="P79" s="90">
        <f t="shared" si="9"/>
        <v>0</v>
      </c>
      <c r="Q79" s="90">
        <f t="shared" si="9"/>
        <v>0</v>
      </c>
    </row>
    <row r="80" spans="1:19" s="496" customFormat="1" ht="16.350000000000001" customHeight="1">
      <c r="A80" s="526"/>
      <c r="B80" s="599" t="s">
        <v>1950</v>
      </c>
      <c r="C80" s="530"/>
      <c r="D80" s="530"/>
      <c r="E80" s="90">
        <f t="shared" ref="E80:Q80" si="10">E59*$D59</f>
        <v>0</v>
      </c>
      <c r="F80" s="90">
        <f t="shared" si="10"/>
        <v>0</v>
      </c>
      <c r="G80" s="90">
        <f t="shared" si="10"/>
        <v>0</v>
      </c>
      <c r="H80" s="90">
        <f t="shared" si="10"/>
        <v>0</v>
      </c>
      <c r="I80" s="90">
        <f t="shared" si="10"/>
        <v>0</v>
      </c>
      <c r="J80" s="90">
        <f t="shared" si="10"/>
        <v>0</v>
      </c>
      <c r="K80" s="90">
        <f t="shared" si="10"/>
        <v>0</v>
      </c>
      <c r="L80" s="90">
        <f t="shared" si="10"/>
        <v>0</v>
      </c>
      <c r="M80" s="90">
        <f t="shared" si="10"/>
        <v>0</v>
      </c>
      <c r="N80" s="90">
        <f t="shared" si="10"/>
        <v>0</v>
      </c>
      <c r="O80" s="90">
        <f t="shared" si="10"/>
        <v>400.15945742176939</v>
      </c>
      <c r="P80" s="90">
        <f t="shared" si="10"/>
        <v>600.23918613265414</v>
      </c>
      <c r="Q80" s="90">
        <f t="shared" si="10"/>
        <v>800.31891484353878</v>
      </c>
    </row>
    <row r="81" spans="1:19" s="496" customFormat="1" ht="16.350000000000001" customHeight="1">
      <c r="A81" s="526"/>
      <c r="B81" s="599" t="s">
        <v>1951</v>
      </c>
      <c r="C81" s="530"/>
      <c r="D81" s="530"/>
      <c r="E81" s="90">
        <f t="shared" ref="E81:Q81" si="11">E60*$D60</f>
        <v>0</v>
      </c>
      <c r="F81" s="90">
        <f t="shared" si="11"/>
        <v>0</v>
      </c>
      <c r="G81" s="90">
        <f t="shared" si="11"/>
        <v>0</v>
      </c>
      <c r="H81" s="90">
        <f t="shared" si="11"/>
        <v>0</v>
      </c>
      <c r="I81" s="90">
        <f t="shared" si="11"/>
        <v>0</v>
      </c>
      <c r="J81" s="90">
        <f t="shared" si="11"/>
        <v>0</v>
      </c>
      <c r="K81" s="90">
        <f t="shared" si="11"/>
        <v>0</v>
      </c>
      <c r="L81" s="90">
        <f t="shared" si="11"/>
        <v>0</v>
      </c>
      <c r="M81" s="90">
        <f t="shared" si="11"/>
        <v>0</v>
      </c>
      <c r="N81" s="90">
        <f t="shared" si="11"/>
        <v>0</v>
      </c>
      <c r="O81" s="90">
        <f t="shared" si="11"/>
        <v>5406.0890785358233</v>
      </c>
      <c r="P81" s="90">
        <f t="shared" si="11"/>
        <v>8109.1336178037354</v>
      </c>
      <c r="Q81" s="90">
        <f t="shared" si="11"/>
        <v>10812.178157071647</v>
      </c>
    </row>
    <row r="82" spans="1:19" s="496" customFormat="1" ht="16.350000000000001" customHeight="1">
      <c r="A82" s="526"/>
      <c r="B82" s="599" t="s">
        <v>141</v>
      </c>
      <c r="C82" s="530"/>
      <c r="D82" s="530"/>
      <c r="E82" s="90">
        <f t="shared" ref="E82:Q82" si="12">E61*$D61+E62*$D62</f>
        <v>0</v>
      </c>
      <c r="F82" s="90">
        <f t="shared" si="12"/>
        <v>0</v>
      </c>
      <c r="G82" s="90">
        <f t="shared" si="12"/>
        <v>0</v>
      </c>
      <c r="H82" s="90">
        <f t="shared" si="12"/>
        <v>0</v>
      </c>
      <c r="I82" s="90">
        <f t="shared" si="12"/>
        <v>0</v>
      </c>
      <c r="J82" s="90">
        <f t="shared" si="12"/>
        <v>0</v>
      </c>
      <c r="K82" s="90">
        <f t="shared" si="12"/>
        <v>0</v>
      </c>
      <c r="L82" s="90">
        <f t="shared" si="12"/>
        <v>0</v>
      </c>
      <c r="M82" s="90">
        <f t="shared" si="12"/>
        <v>0</v>
      </c>
      <c r="N82" s="90">
        <f t="shared" si="12"/>
        <v>0</v>
      </c>
      <c r="O82" s="90">
        <f t="shared" si="12"/>
        <v>2926</v>
      </c>
      <c r="P82" s="90">
        <f t="shared" si="12"/>
        <v>4389</v>
      </c>
      <c r="Q82" s="90">
        <f t="shared" si="12"/>
        <v>5852</v>
      </c>
    </row>
    <row r="83" spans="1:19" s="496" customFormat="1" ht="16.350000000000001" customHeight="1">
      <c r="A83" s="526"/>
      <c r="B83" s="599" t="s">
        <v>1944</v>
      </c>
      <c r="C83" s="530"/>
      <c r="D83" s="530"/>
      <c r="E83" s="90">
        <f>SUMPRODUCT($D64:$D72,E64:E72)</f>
        <v>0</v>
      </c>
      <c r="F83" s="90">
        <f t="shared" ref="F83:N83" si="13">SUMPRODUCT($D64:$D72,F64:F72)</f>
        <v>0</v>
      </c>
      <c r="G83" s="90">
        <f t="shared" si="13"/>
        <v>0</v>
      </c>
      <c r="H83" s="90">
        <f t="shared" si="13"/>
        <v>0</v>
      </c>
      <c r="I83" s="90">
        <f t="shared" si="13"/>
        <v>0</v>
      </c>
      <c r="J83" s="90">
        <f t="shared" si="13"/>
        <v>0</v>
      </c>
      <c r="K83" s="90">
        <f t="shared" si="13"/>
        <v>0</v>
      </c>
      <c r="L83" s="90">
        <f t="shared" si="13"/>
        <v>0</v>
      </c>
      <c r="M83" s="90">
        <f t="shared" si="13"/>
        <v>0</v>
      </c>
      <c r="N83" s="90">
        <f t="shared" si="13"/>
        <v>0</v>
      </c>
      <c r="O83" s="90"/>
      <c r="P83" s="90"/>
      <c r="Q83" s="90"/>
    </row>
    <row r="84" spans="1:19" s="496" customFormat="1" ht="16.350000000000001" customHeight="1">
      <c r="A84" s="526"/>
      <c r="B84" s="601"/>
      <c r="C84" s="530"/>
      <c r="D84" s="530"/>
      <c r="E84" s="602">
        <f>SUM(E75:E83)</f>
        <v>0</v>
      </c>
      <c r="F84" s="602">
        <f t="shared" ref="F84:N84" si="14">SUM(F75:F83)</f>
        <v>0</v>
      </c>
      <c r="G84" s="602">
        <f t="shared" si="14"/>
        <v>0</v>
      </c>
      <c r="H84" s="602">
        <f t="shared" si="14"/>
        <v>0</v>
      </c>
      <c r="I84" s="602">
        <f t="shared" si="14"/>
        <v>0</v>
      </c>
      <c r="J84" s="602">
        <f t="shared" si="14"/>
        <v>0</v>
      </c>
      <c r="K84" s="602">
        <f t="shared" si="14"/>
        <v>0</v>
      </c>
      <c r="L84" s="602">
        <f t="shared" si="14"/>
        <v>0</v>
      </c>
      <c r="M84" s="602">
        <f t="shared" si="14"/>
        <v>0</v>
      </c>
      <c r="N84" s="602">
        <f t="shared" si="14"/>
        <v>0</v>
      </c>
      <c r="O84" s="602">
        <f t="shared" ref="O84:Q84" si="15">SUM(O75:O82)</f>
        <v>60505.795767017473</v>
      </c>
      <c r="P84" s="602">
        <f t="shared" si="15"/>
        <v>176230.19533442293</v>
      </c>
      <c r="Q84" s="602">
        <f t="shared" si="15"/>
        <v>275288.30427520763</v>
      </c>
    </row>
    <row r="85" spans="1:19">
      <c r="E85" s="615"/>
      <c r="F85" s="615"/>
      <c r="G85" s="615"/>
      <c r="H85" s="615"/>
      <c r="I85" s="615"/>
      <c r="J85" s="615"/>
      <c r="K85" s="615"/>
      <c r="L85" s="615"/>
      <c r="M85" s="615"/>
      <c r="N85" s="615"/>
      <c r="O85" s="615"/>
      <c r="P85" s="615"/>
      <c r="Q85" s="615"/>
      <c r="R85" s="494"/>
      <c r="S85" s="494"/>
    </row>
    <row r="86" spans="1:19" ht="15">
      <c r="E86" s="615"/>
      <c r="F86" s="615"/>
      <c r="G86" s="615"/>
      <c r="H86" s="615"/>
      <c r="I86" s="615"/>
      <c r="J86" s="615"/>
      <c r="K86" s="615"/>
      <c r="L86" s="615"/>
      <c r="M86" s="615"/>
      <c r="N86" s="627" t="s">
        <v>99</v>
      </c>
      <c r="O86" s="612">
        <f>O84-O82-O81</f>
        <v>52173.706688481652</v>
      </c>
      <c r="P86" s="612">
        <f t="shared" ref="P86:Q86" si="16">P84-P82-P81</f>
        <v>163732.06171661918</v>
      </c>
      <c r="Q86" s="612">
        <f t="shared" si="16"/>
        <v>258624.12611813599</v>
      </c>
    </row>
  </sheetData>
  <sheetProtection algorithmName="SHA-512" hashValue="SoU6+SP47qvirv8dnXPtYxS0nwWCxX/XJ+wwdDUzZ0O87Rr42RPCaC0kmKyLegBIH4ACCvP43yJ7XG6t00NuzA==" saltValue="CuCFOQ3cV9kAlQZwUX+ihA==" spinCount="100000" sheet="1" objects="1" scenarios="1" autoFilter="0"/>
  <phoneticPr fontId="12" type="noConversion"/>
  <dataValidations disablePrompts="1" count="1">
    <dataValidation allowBlank="1" showInputMessage="1" showErrorMessage="1" prompt="Elements comprise the area disturbed requiring grade and seed, number of a range of tanks, number of pumps, length of piping and number of portable buildings - input numbers of elements to right for a given facility." sqref="B6" xr:uid="{3C5639BC-2626-493F-8242-95E319D8FC4F}"/>
  </dataValidations>
  <hyperlinks>
    <hyperlink ref="C3" location="CONTENTS" display="Contents" xr:uid="{C88BD485-35E2-4B15-B93D-5207BF03BF7D}"/>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17354-BA1A-4184-A5A5-D23576B2F312}">
  <sheetPr codeName="Sheet52">
    <tabColor theme="9" tint="-0.499984740745262"/>
  </sheetPr>
  <dimension ref="A2:BK75"/>
  <sheetViews>
    <sheetView showGridLines="0" zoomScaleNormal="100" workbookViewId="0">
      <pane xSplit="9" ySplit="8" topLeftCell="J9" activePane="bottomRight" state="frozen"/>
      <selection pane="topRight" activeCell="J1" sqref="J1"/>
      <selection pane="bottomLeft" activeCell="A9" sqref="A9"/>
      <selection pane="bottomRight"/>
    </sheetView>
  </sheetViews>
  <sheetFormatPr defaultColWidth="9.28515625" defaultRowHeight="12"/>
  <cols>
    <col min="1" max="1" width="1.42578125" style="494" customWidth="1"/>
    <col min="2" max="3" width="11.5703125" style="494" customWidth="1"/>
    <col min="4" max="4" width="59.5703125" style="494" customWidth="1"/>
    <col min="5" max="5" width="16.5703125" style="494" customWidth="1"/>
    <col min="6" max="6" width="21.5703125" style="494" customWidth="1"/>
    <col min="7" max="9" width="16.5703125" style="494" customWidth="1"/>
    <col min="10" max="10" width="16.5703125" style="497" customWidth="1"/>
    <col min="11" max="11" width="16.5703125" style="494" customWidth="1"/>
    <col min="12" max="12" width="8.5703125" style="497" customWidth="1"/>
    <col min="13" max="26" width="16.5703125" style="497" customWidth="1"/>
    <col min="27" max="60" width="16.5703125" style="494" customWidth="1"/>
    <col min="61" max="16384" width="9.28515625" style="494"/>
  </cols>
  <sheetData>
    <row r="2" spans="1:63" ht="16.350000000000001" customHeight="1">
      <c r="B2" s="225" t="str">
        <f>CONTENTS!$B$2</f>
        <v>Petroleum and Gas Estimated Rehabilitation Cost Calculator</v>
      </c>
      <c r="C2" s="495"/>
      <c r="I2" s="525"/>
      <c r="K2" s="497"/>
      <c r="L2" s="494"/>
    </row>
    <row r="3" spans="1:63" ht="16.350000000000001" customHeight="1">
      <c r="B3" s="20" t="s">
        <v>305</v>
      </c>
      <c r="C3" s="571" t="s">
        <v>1984</v>
      </c>
      <c r="D3" s="498"/>
      <c r="I3" s="497"/>
      <c r="K3" s="497"/>
      <c r="L3" s="494"/>
    </row>
    <row r="4" spans="1:63" ht="16.350000000000001" customHeight="1">
      <c r="A4" s="497"/>
      <c r="B4" s="497"/>
      <c r="C4" s="618" t="s">
        <v>1985</v>
      </c>
      <c r="D4" s="572">
        <f>SUM(M75:BH75)</f>
        <v>0</v>
      </c>
      <c r="E4" s="497"/>
      <c r="F4" s="497"/>
      <c r="G4" s="497"/>
      <c r="H4" s="497"/>
      <c r="I4" s="497"/>
      <c r="K4" s="497"/>
      <c r="L4" s="494"/>
    </row>
    <row r="5" spans="1:63" ht="16.350000000000001" customHeight="1">
      <c r="A5" s="497"/>
      <c r="B5" s="497"/>
      <c r="C5" s="618" t="s">
        <v>1726</v>
      </c>
      <c r="D5" s="572">
        <f>ERC</f>
        <v>0</v>
      </c>
      <c r="E5" s="497"/>
      <c r="F5" s="497"/>
      <c r="G5" s="497"/>
      <c r="H5" s="497"/>
      <c r="I5" s="497"/>
      <c r="K5" s="497"/>
      <c r="L5" s="494"/>
    </row>
    <row r="6" spans="1:63" ht="16.350000000000001" customHeight="1">
      <c r="K6" s="497"/>
      <c r="L6" s="494"/>
      <c r="Z6" s="494"/>
    </row>
    <row r="7" spans="1:63" ht="57" customHeight="1">
      <c r="A7" s="532"/>
      <c r="B7" s="509" t="s">
        <v>80</v>
      </c>
      <c r="C7" s="509" t="s">
        <v>439</v>
      </c>
      <c r="D7" s="509" t="s">
        <v>1986</v>
      </c>
      <c r="E7" s="509" t="s">
        <v>22</v>
      </c>
      <c r="F7" s="509" t="s">
        <v>144</v>
      </c>
      <c r="G7" s="509" t="s">
        <v>1817</v>
      </c>
      <c r="H7" s="509" t="s">
        <v>174</v>
      </c>
      <c r="I7" s="509" t="s">
        <v>1987</v>
      </c>
      <c r="J7" s="509" t="s">
        <v>1988</v>
      </c>
      <c r="K7" s="509" t="s">
        <v>1989</v>
      </c>
      <c r="M7" s="581" t="str" cm="1">
        <f t="array" ref="M7:BH7">TRANSPOSE(Dams_area_defs)</f>
        <v>0 to &lt;= 50 ML Contaminated, Lined, Pasture</v>
      </c>
      <c r="N7" s="581" t="str">
        <v>0 to &lt;= 50 ML Contaminated, Lined, Native</v>
      </c>
      <c r="O7" s="581" t="str">
        <v>0 to &lt;= 50 ML Contaminated, Lined, Arid</v>
      </c>
      <c r="P7" s="581" t="str">
        <v>0 to &lt;= 50 ML Contaminated, Unlined, Pasture</v>
      </c>
      <c r="Q7" s="581" t="str">
        <v>0 to &lt;= 50 ML Contaminated, Unlined, Native</v>
      </c>
      <c r="R7" s="581" t="str">
        <v>0 to &lt;= 50 ML Contaminated, Unlined, Arid</v>
      </c>
      <c r="S7" s="581" t="str">
        <v>0 to &lt;= 50 ML Clean, Lined, Pasture</v>
      </c>
      <c r="T7" s="581" t="str">
        <v>0 to &lt;= 50 ML Clean, Lined, Native</v>
      </c>
      <c r="U7" s="581" t="str">
        <v>0 to &lt;= 50 ML Clean, Lined, Arid</v>
      </c>
      <c r="V7" s="581" t="str">
        <v>0 to &lt;= 50 ML Clean, Unlined, Pasture</v>
      </c>
      <c r="W7" s="581" t="str">
        <v>0 to &lt;= 50 ML Clean, Unlined, Native</v>
      </c>
      <c r="X7" s="581" t="str">
        <v>0 to &lt;= 50 ML Clean, Unlined, Arid</v>
      </c>
      <c r="Y7" s="581" t="str">
        <v>&gt;50 ML to &lt;=200 ML Contaminated, Lined, Pasture</v>
      </c>
      <c r="Z7" s="581" t="str">
        <v>&gt;50 ML to &lt;=200 ML Contaminated, Lined, Native</v>
      </c>
      <c r="AA7" s="581" t="str">
        <v>&gt;50 ML to &lt;=200 ML Contaminated, Lined, Arid</v>
      </c>
      <c r="AB7" s="581" t="str">
        <v>&gt;50 ML to &lt;=200 ML Contaminated, Unlined, Pasture</v>
      </c>
      <c r="AC7" s="581" t="str">
        <v>&gt;50 ML to &lt;=200 ML Contaminated, Unlined, Native</v>
      </c>
      <c r="AD7" s="581" t="str">
        <v>&gt;50 ML to &lt;=200 ML Contaminated, Unlined, Arid</v>
      </c>
      <c r="AE7" s="581" t="str">
        <v>&gt;50 ML to &lt;=200 ML Clean, Lined, Pasture</v>
      </c>
      <c r="AF7" s="581" t="str">
        <v>&gt;50 ML to &lt;=200 ML Clean, Lined, Native</v>
      </c>
      <c r="AG7" s="581" t="str">
        <v>&gt;50 ML to &lt;=200 ML Clean, Lined, Arid</v>
      </c>
      <c r="AH7" s="581" t="str">
        <v>&gt;50 ML to &lt;=200 ML Clean, Unlined, Pasture</v>
      </c>
      <c r="AI7" s="581" t="str">
        <v>&gt;50 ML to &lt;=200 ML Clean, Unlined, Native</v>
      </c>
      <c r="AJ7" s="581" t="str">
        <v>&gt;50 ML to &lt;=200 ML Clean, Unlined, Arid</v>
      </c>
      <c r="AK7" s="581" t="str">
        <v>&gt;200 ML to &lt;=1000 ML Contaminated, Lined, Pasture</v>
      </c>
      <c r="AL7" s="581" t="str">
        <v>&gt;200 ML to &lt;=1000 ML Contaminated, Lined, Native</v>
      </c>
      <c r="AM7" s="581" t="str">
        <v>&gt;200 ML to &lt;=1000 ML Contaminated, Lined, Arid</v>
      </c>
      <c r="AN7" s="581" t="str">
        <v>&gt;200 ML to &lt;=1000 ML Contaminated, Unlined, Pasture</v>
      </c>
      <c r="AO7" s="581" t="str">
        <v>&gt;200 ML to &lt;=1000 ML Contaminated, Unlined, Native</v>
      </c>
      <c r="AP7" s="581" t="str">
        <v>&gt;200 ML to &lt;=1000 ML Contaminated, Unlined, Arid</v>
      </c>
      <c r="AQ7" s="581" t="str">
        <v>&gt;200 ML to &lt;=1000 ML Clean, Lined, Pasture</v>
      </c>
      <c r="AR7" s="581" t="str">
        <v>&gt;200 ML to &lt;=1000 ML Clean, Lined, Native</v>
      </c>
      <c r="AS7" s="581" t="str">
        <v>&gt;200 ML to &lt;=1000 ML Clean, Lined, Arid</v>
      </c>
      <c r="AT7" s="581" t="str">
        <v>&gt;200 ML to &lt;=1000 ML Clean, Unlined, Pasture</v>
      </c>
      <c r="AU7" s="581" t="str">
        <v>&gt;200 ML to &lt;=1000 ML Clean, Unlined, Native</v>
      </c>
      <c r="AV7" s="581" t="str">
        <v>&gt;200 ML to &lt;=1000 ML Clean, Unlined, Arid</v>
      </c>
      <c r="AW7" s="581" t="str">
        <v>&gt;1000 to &lt;=5000 ML Contaminated, Lined, Pasture</v>
      </c>
      <c r="AX7" s="581" t="str">
        <v>&gt;1000 to &lt;=5000 ML Contaminated, Lined, Native</v>
      </c>
      <c r="AY7" s="581" t="str">
        <v>&gt;1000 to &lt;=5000 ML Contaminated, Lined, Arid</v>
      </c>
      <c r="AZ7" s="581" t="str">
        <v>&gt;1000 to &lt;=5000 ML Contaminated, Unlined, Pasture</v>
      </c>
      <c r="BA7" s="581" t="str">
        <v>&gt;1000 to &lt;=5000 ML Contaminated, Unlined, Native</v>
      </c>
      <c r="BB7" s="581" t="str">
        <v>&gt;1000 to &lt;=5000 ML Contaminated, Unlined, Arid</v>
      </c>
      <c r="BC7" s="581" t="str">
        <v>&gt;1000 to &lt;=5000 ML Clean, Lined, Pasture</v>
      </c>
      <c r="BD7" s="581" t="str">
        <v>&gt;1000 to &lt;=5000 ML Clean, Lined, Native</v>
      </c>
      <c r="BE7" s="581" t="str">
        <v>&gt;1000 to &lt;=5000 ML Clean, Lined, Arid</v>
      </c>
      <c r="BF7" s="581" t="str">
        <v>&gt;1000 to &lt;=5000 ML Clean, Unlined, Pasture</v>
      </c>
      <c r="BG7" s="581" t="str">
        <v>&gt;1000 to &lt;=5000 ML Clean, Unlined, Native</v>
      </c>
      <c r="BH7" s="581" t="str">
        <v>&gt;1000 to &lt;=5000 ML Clean, Unlined, Arid</v>
      </c>
      <c r="BI7" s="628">
        <v>1</v>
      </c>
    </row>
    <row r="8" spans="1:63" ht="18" customHeight="1">
      <c r="A8" s="532"/>
      <c r="B8" s="533"/>
      <c r="C8" s="533"/>
      <c r="E8" s="629" t="s">
        <v>1777</v>
      </c>
      <c r="F8" s="629" t="s">
        <v>1777</v>
      </c>
      <c r="G8" s="629" t="s">
        <v>1777</v>
      </c>
      <c r="H8" s="629" t="s">
        <v>1777</v>
      </c>
      <c r="I8" s="629" t="s">
        <v>1777</v>
      </c>
      <c r="J8" s="533" t="s">
        <v>1763</v>
      </c>
      <c r="K8" s="533" t="s">
        <v>119</v>
      </c>
      <c r="M8" s="630"/>
      <c r="N8" s="630"/>
      <c r="O8" s="630"/>
      <c r="P8" s="630"/>
      <c r="Q8" s="630"/>
      <c r="R8" s="630"/>
      <c r="S8" s="630"/>
      <c r="T8" s="630"/>
      <c r="U8" s="630"/>
      <c r="V8" s="630"/>
      <c r="W8" s="630"/>
      <c r="X8" s="630"/>
      <c r="Y8" s="630"/>
      <c r="Z8" s="630"/>
      <c r="AA8" s="630"/>
      <c r="AB8" s="630"/>
      <c r="AC8" s="630"/>
      <c r="AD8" s="630"/>
      <c r="AE8" s="630"/>
      <c r="AF8" s="630"/>
      <c r="AG8" s="630"/>
      <c r="AH8" s="630"/>
      <c r="AI8" s="630"/>
      <c r="AJ8" s="630"/>
      <c r="AK8" s="630"/>
      <c r="AL8" s="630"/>
      <c r="AM8" s="630"/>
      <c r="AN8" s="630"/>
      <c r="AO8" s="630"/>
      <c r="AP8" s="630"/>
      <c r="AQ8" s="630"/>
      <c r="AR8" s="630"/>
      <c r="AS8" s="630"/>
      <c r="AT8" s="630"/>
      <c r="AU8" s="630"/>
      <c r="AV8" s="630"/>
      <c r="AW8" s="630"/>
      <c r="AX8" s="630"/>
      <c r="AY8" s="630"/>
      <c r="AZ8" s="630"/>
      <c r="BA8" s="630"/>
      <c r="BB8" s="630"/>
      <c r="BC8" s="630"/>
      <c r="BD8" s="630"/>
      <c r="BE8" s="630"/>
      <c r="BF8" s="630"/>
      <c r="BG8" s="630"/>
      <c r="BH8" s="630"/>
      <c r="BI8" s="510">
        <f>BI7+1</f>
        <v>2</v>
      </c>
    </row>
    <row r="9" spans="1:63">
      <c r="A9" s="532"/>
      <c r="B9" s="562">
        <v>1</v>
      </c>
      <c r="C9" s="138"/>
      <c r="D9" s="591"/>
      <c r="E9" s="57" t="s">
        <v>191</v>
      </c>
      <c r="F9" s="57" t="s">
        <v>187</v>
      </c>
      <c r="G9" s="57" t="s">
        <v>124</v>
      </c>
      <c r="H9" s="57" t="s">
        <v>175</v>
      </c>
      <c r="I9" s="57" t="s">
        <v>1990</v>
      </c>
      <c r="J9" s="89"/>
      <c r="K9" s="55"/>
      <c r="L9" s="494"/>
      <c r="M9" s="574">
        <f>IF($BK9=M$7,$K9,"")</f>
        <v>0</v>
      </c>
      <c r="N9" s="574" t="str">
        <f t="shared" ref="N9:BH14" si="0">IF($BK9=N$7,$K9,"")</f>
        <v/>
      </c>
      <c r="O9" s="574" t="str">
        <f t="shared" si="0"/>
        <v/>
      </c>
      <c r="P9" s="574" t="str">
        <f t="shared" si="0"/>
        <v/>
      </c>
      <c r="Q9" s="574" t="str">
        <f t="shared" si="0"/>
        <v/>
      </c>
      <c r="R9" s="574" t="str">
        <f t="shared" si="0"/>
        <v/>
      </c>
      <c r="S9" s="574" t="str">
        <f t="shared" si="0"/>
        <v/>
      </c>
      <c r="T9" s="574" t="str">
        <f t="shared" si="0"/>
        <v/>
      </c>
      <c r="U9" s="574" t="str">
        <f t="shared" si="0"/>
        <v/>
      </c>
      <c r="V9" s="574" t="str">
        <f t="shared" si="0"/>
        <v/>
      </c>
      <c r="W9" s="574" t="str">
        <f t="shared" si="0"/>
        <v/>
      </c>
      <c r="X9" s="574" t="str">
        <f t="shared" si="0"/>
        <v/>
      </c>
      <c r="Y9" s="574" t="str">
        <f t="shared" si="0"/>
        <v/>
      </c>
      <c r="Z9" s="574" t="str">
        <f t="shared" si="0"/>
        <v/>
      </c>
      <c r="AA9" s="574" t="str">
        <f t="shared" si="0"/>
        <v/>
      </c>
      <c r="AB9" s="574" t="str">
        <f t="shared" si="0"/>
        <v/>
      </c>
      <c r="AC9" s="574" t="str">
        <f t="shared" si="0"/>
        <v/>
      </c>
      <c r="AD9" s="574" t="str">
        <f t="shared" si="0"/>
        <v/>
      </c>
      <c r="AE9" s="574" t="str">
        <f t="shared" si="0"/>
        <v/>
      </c>
      <c r="AF9" s="574" t="str">
        <f t="shared" si="0"/>
        <v/>
      </c>
      <c r="AG9" s="574" t="str">
        <f t="shared" si="0"/>
        <v/>
      </c>
      <c r="AH9" s="574" t="str">
        <f t="shared" si="0"/>
        <v/>
      </c>
      <c r="AI9" s="574" t="str">
        <f t="shared" si="0"/>
        <v/>
      </c>
      <c r="AJ9" s="574" t="str">
        <f t="shared" si="0"/>
        <v/>
      </c>
      <c r="AK9" s="574" t="str">
        <f t="shared" si="0"/>
        <v/>
      </c>
      <c r="AL9" s="574" t="str">
        <f t="shared" si="0"/>
        <v/>
      </c>
      <c r="AM9" s="574" t="str">
        <f t="shared" si="0"/>
        <v/>
      </c>
      <c r="AN9" s="574" t="str">
        <f t="shared" si="0"/>
        <v/>
      </c>
      <c r="AO9" s="574" t="str">
        <f t="shared" si="0"/>
        <v/>
      </c>
      <c r="AP9" s="574" t="str">
        <f t="shared" si="0"/>
        <v/>
      </c>
      <c r="AQ9" s="574" t="str">
        <f t="shared" si="0"/>
        <v/>
      </c>
      <c r="AR9" s="574" t="str">
        <f t="shared" si="0"/>
        <v/>
      </c>
      <c r="AS9" s="574" t="str">
        <f t="shared" si="0"/>
        <v/>
      </c>
      <c r="AT9" s="574" t="str">
        <f t="shared" si="0"/>
        <v/>
      </c>
      <c r="AU9" s="574" t="str">
        <f t="shared" si="0"/>
        <v/>
      </c>
      <c r="AV9" s="574" t="str">
        <f t="shared" si="0"/>
        <v/>
      </c>
      <c r="AW9" s="574" t="str">
        <f t="shared" si="0"/>
        <v/>
      </c>
      <c r="AX9" s="574" t="str">
        <f t="shared" si="0"/>
        <v/>
      </c>
      <c r="AY9" s="574" t="str">
        <f t="shared" si="0"/>
        <v/>
      </c>
      <c r="AZ9" s="574" t="str">
        <f t="shared" si="0"/>
        <v/>
      </c>
      <c r="BA9" s="574" t="str">
        <f t="shared" si="0"/>
        <v/>
      </c>
      <c r="BB9" s="574" t="str">
        <f t="shared" si="0"/>
        <v/>
      </c>
      <c r="BC9" s="574" t="str">
        <f t="shared" si="0"/>
        <v/>
      </c>
      <c r="BD9" s="574" t="str">
        <f t="shared" si="0"/>
        <v/>
      </c>
      <c r="BE9" s="574" t="str">
        <f t="shared" si="0"/>
        <v/>
      </c>
      <c r="BF9" s="574" t="str">
        <f t="shared" si="0"/>
        <v/>
      </c>
      <c r="BG9" s="574" t="str">
        <f t="shared" si="0"/>
        <v/>
      </c>
      <c r="BH9" s="574" t="str">
        <f t="shared" si="0"/>
        <v/>
      </c>
      <c r="BI9" s="510">
        <f t="shared" ref="BI9:BI72" si="1">BI8+1</f>
        <v>3</v>
      </c>
      <c r="BJ9" s="631">
        <f>SUM(M9:BH9)</f>
        <v>0</v>
      </c>
      <c r="BK9" s="632" t="str">
        <f>CONCATENATE(F9," ",E9,", ",H9,", ",G9)</f>
        <v>0 to &lt;= 50 ML Contaminated, Lined, Pasture</v>
      </c>
    </row>
    <row r="10" spans="1:63">
      <c r="A10" s="532"/>
      <c r="B10" s="562">
        <f>B9+1</f>
        <v>2</v>
      </c>
      <c r="C10" s="138"/>
      <c r="D10" s="591"/>
      <c r="E10" s="57" t="s">
        <v>191</v>
      </c>
      <c r="F10" s="57" t="s">
        <v>187</v>
      </c>
      <c r="G10" s="57" t="s">
        <v>133</v>
      </c>
      <c r="H10" s="57" t="s">
        <v>175</v>
      </c>
      <c r="I10" s="57" t="s">
        <v>1991</v>
      </c>
      <c r="J10" s="67"/>
      <c r="K10" s="55"/>
      <c r="L10" s="494"/>
      <c r="M10" s="574" t="str">
        <f t="shared" ref="M10:AB30" si="2">IF($BK10=M$7,$K10,"")</f>
        <v/>
      </c>
      <c r="N10" s="574">
        <f t="shared" si="0"/>
        <v>0</v>
      </c>
      <c r="O10" s="574" t="str">
        <f t="shared" si="0"/>
        <v/>
      </c>
      <c r="P10" s="574" t="str">
        <f t="shared" si="0"/>
        <v/>
      </c>
      <c r="Q10" s="574" t="str">
        <f t="shared" si="0"/>
        <v/>
      </c>
      <c r="R10" s="574" t="str">
        <f t="shared" si="0"/>
        <v/>
      </c>
      <c r="S10" s="574" t="str">
        <f t="shared" si="0"/>
        <v/>
      </c>
      <c r="T10" s="574" t="str">
        <f t="shared" si="0"/>
        <v/>
      </c>
      <c r="U10" s="574" t="str">
        <f t="shared" si="0"/>
        <v/>
      </c>
      <c r="V10" s="574" t="str">
        <f t="shared" si="0"/>
        <v/>
      </c>
      <c r="W10" s="574" t="str">
        <f t="shared" si="0"/>
        <v/>
      </c>
      <c r="X10" s="574" t="str">
        <f t="shared" si="0"/>
        <v/>
      </c>
      <c r="Y10" s="574" t="str">
        <f t="shared" si="0"/>
        <v/>
      </c>
      <c r="Z10" s="574" t="str">
        <f t="shared" si="0"/>
        <v/>
      </c>
      <c r="AA10" s="574" t="str">
        <f t="shared" si="0"/>
        <v/>
      </c>
      <c r="AB10" s="574" t="str">
        <f t="shared" si="0"/>
        <v/>
      </c>
      <c r="AC10" s="574" t="str">
        <f t="shared" si="0"/>
        <v/>
      </c>
      <c r="AD10" s="574" t="str">
        <f t="shared" si="0"/>
        <v/>
      </c>
      <c r="AE10" s="574" t="str">
        <f t="shared" si="0"/>
        <v/>
      </c>
      <c r="AF10" s="574" t="str">
        <f t="shared" si="0"/>
        <v/>
      </c>
      <c r="AG10" s="574" t="str">
        <f t="shared" si="0"/>
        <v/>
      </c>
      <c r="AH10" s="574" t="str">
        <f t="shared" si="0"/>
        <v/>
      </c>
      <c r="AI10" s="574" t="str">
        <f t="shared" si="0"/>
        <v/>
      </c>
      <c r="AJ10" s="574" t="str">
        <f t="shared" si="0"/>
        <v/>
      </c>
      <c r="AK10" s="574" t="str">
        <f t="shared" si="0"/>
        <v/>
      </c>
      <c r="AL10" s="574" t="str">
        <f t="shared" si="0"/>
        <v/>
      </c>
      <c r="AM10" s="574" t="str">
        <f t="shared" si="0"/>
        <v/>
      </c>
      <c r="AN10" s="574" t="str">
        <f t="shared" si="0"/>
        <v/>
      </c>
      <c r="AO10" s="574" t="str">
        <f t="shared" si="0"/>
        <v/>
      </c>
      <c r="AP10" s="574" t="str">
        <f t="shared" si="0"/>
        <v/>
      </c>
      <c r="AQ10" s="574" t="str">
        <f t="shared" si="0"/>
        <v/>
      </c>
      <c r="AR10" s="574" t="str">
        <f t="shared" si="0"/>
        <v/>
      </c>
      <c r="AS10" s="574" t="str">
        <f t="shared" si="0"/>
        <v/>
      </c>
      <c r="AT10" s="574" t="str">
        <f t="shared" si="0"/>
        <v/>
      </c>
      <c r="AU10" s="574" t="str">
        <f t="shared" si="0"/>
        <v/>
      </c>
      <c r="AV10" s="574" t="str">
        <f t="shared" si="0"/>
        <v/>
      </c>
      <c r="AW10" s="574" t="str">
        <f t="shared" si="0"/>
        <v/>
      </c>
      <c r="AX10" s="574" t="str">
        <f t="shared" si="0"/>
        <v/>
      </c>
      <c r="AY10" s="574" t="str">
        <f t="shared" si="0"/>
        <v/>
      </c>
      <c r="AZ10" s="574" t="str">
        <f t="shared" si="0"/>
        <v/>
      </c>
      <c r="BA10" s="574" t="str">
        <f t="shared" si="0"/>
        <v/>
      </c>
      <c r="BB10" s="574" t="str">
        <f t="shared" si="0"/>
        <v/>
      </c>
      <c r="BC10" s="574" t="str">
        <f t="shared" si="0"/>
        <v/>
      </c>
      <c r="BD10" s="574" t="str">
        <f t="shared" si="0"/>
        <v/>
      </c>
      <c r="BE10" s="574" t="str">
        <f t="shared" si="0"/>
        <v/>
      </c>
      <c r="BF10" s="574" t="str">
        <f t="shared" si="0"/>
        <v/>
      </c>
      <c r="BG10" s="574" t="str">
        <f t="shared" si="0"/>
        <v/>
      </c>
      <c r="BH10" s="574" t="str">
        <f t="shared" si="0"/>
        <v/>
      </c>
      <c r="BI10" s="510">
        <f t="shared" si="1"/>
        <v>4</v>
      </c>
      <c r="BJ10" s="631">
        <f t="shared" ref="BJ10:BJ70" si="3">SUM(M10:BH10)</f>
        <v>0</v>
      </c>
      <c r="BK10" s="632" t="str">
        <f t="shared" ref="BK10:BK70" si="4">CONCATENATE(F10," ",E10,", ",H10,", ",G10)</f>
        <v>0 to &lt;= 50 ML Contaminated, Lined, Native</v>
      </c>
    </row>
    <row r="11" spans="1:63">
      <c r="A11" s="532"/>
      <c r="B11" s="562">
        <f t="shared" ref="B11:B70" si="5">B10+1</f>
        <v>3</v>
      </c>
      <c r="C11" s="138"/>
      <c r="D11" s="591"/>
      <c r="E11" s="57" t="s">
        <v>191</v>
      </c>
      <c r="F11" s="57" t="s">
        <v>187</v>
      </c>
      <c r="G11" s="57" t="s">
        <v>99</v>
      </c>
      <c r="H11" s="57" t="s">
        <v>175</v>
      </c>
      <c r="I11" s="57" t="s">
        <v>1990</v>
      </c>
      <c r="J11" s="67"/>
      <c r="K11" s="55"/>
      <c r="L11" s="494"/>
      <c r="M11" s="574" t="str">
        <f t="shared" si="2"/>
        <v/>
      </c>
      <c r="N11" s="574" t="str">
        <f t="shared" si="0"/>
        <v/>
      </c>
      <c r="O11" s="574">
        <f t="shared" si="0"/>
        <v>0</v>
      </c>
      <c r="P11" s="574" t="str">
        <f t="shared" si="0"/>
        <v/>
      </c>
      <c r="Q11" s="574" t="str">
        <f t="shared" si="0"/>
        <v/>
      </c>
      <c r="R11" s="574" t="str">
        <f t="shared" si="0"/>
        <v/>
      </c>
      <c r="S11" s="574" t="str">
        <f t="shared" si="0"/>
        <v/>
      </c>
      <c r="T11" s="574" t="str">
        <f t="shared" si="0"/>
        <v/>
      </c>
      <c r="U11" s="574" t="str">
        <f t="shared" si="0"/>
        <v/>
      </c>
      <c r="V11" s="574" t="str">
        <f t="shared" si="0"/>
        <v/>
      </c>
      <c r="W11" s="574" t="str">
        <f t="shared" si="0"/>
        <v/>
      </c>
      <c r="X11" s="574" t="str">
        <f t="shared" si="0"/>
        <v/>
      </c>
      <c r="Y11" s="574" t="str">
        <f t="shared" si="0"/>
        <v/>
      </c>
      <c r="Z11" s="574" t="str">
        <f t="shared" si="0"/>
        <v/>
      </c>
      <c r="AA11" s="574" t="str">
        <f t="shared" si="0"/>
        <v/>
      </c>
      <c r="AB11" s="574" t="str">
        <f t="shared" si="0"/>
        <v/>
      </c>
      <c r="AC11" s="574" t="str">
        <f t="shared" si="0"/>
        <v/>
      </c>
      <c r="AD11" s="574" t="str">
        <f t="shared" si="0"/>
        <v/>
      </c>
      <c r="AE11" s="574" t="str">
        <f t="shared" si="0"/>
        <v/>
      </c>
      <c r="AF11" s="574" t="str">
        <f t="shared" si="0"/>
        <v/>
      </c>
      <c r="AG11" s="574" t="str">
        <f t="shared" si="0"/>
        <v/>
      </c>
      <c r="AH11" s="574" t="str">
        <f t="shared" si="0"/>
        <v/>
      </c>
      <c r="AI11" s="574" t="str">
        <f t="shared" si="0"/>
        <v/>
      </c>
      <c r="AJ11" s="574" t="str">
        <f t="shared" si="0"/>
        <v/>
      </c>
      <c r="AK11" s="574" t="str">
        <f t="shared" si="0"/>
        <v/>
      </c>
      <c r="AL11" s="574" t="str">
        <f t="shared" si="0"/>
        <v/>
      </c>
      <c r="AM11" s="574" t="str">
        <f t="shared" si="0"/>
        <v/>
      </c>
      <c r="AN11" s="574" t="str">
        <f t="shared" si="0"/>
        <v/>
      </c>
      <c r="AO11" s="574" t="str">
        <f t="shared" si="0"/>
        <v/>
      </c>
      <c r="AP11" s="574" t="str">
        <f t="shared" si="0"/>
        <v/>
      </c>
      <c r="AQ11" s="574" t="str">
        <f t="shared" si="0"/>
        <v/>
      </c>
      <c r="AR11" s="574" t="str">
        <f t="shared" si="0"/>
        <v/>
      </c>
      <c r="AS11" s="574" t="str">
        <f t="shared" si="0"/>
        <v/>
      </c>
      <c r="AT11" s="574" t="str">
        <f t="shared" si="0"/>
        <v/>
      </c>
      <c r="AU11" s="574" t="str">
        <f t="shared" si="0"/>
        <v/>
      </c>
      <c r="AV11" s="574" t="str">
        <f t="shared" si="0"/>
        <v/>
      </c>
      <c r="AW11" s="574" t="str">
        <f t="shared" si="0"/>
        <v/>
      </c>
      <c r="AX11" s="574" t="str">
        <f t="shared" si="0"/>
        <v/>
      </c>
      <c r="AY11" s="574" t="str">
        <f t="shared" si="0"/>
        <v/>
      </c>
      <c r="AZ11" s="574" t="str">
        <f t="shared" si="0"/>
        <v/>
      </c>
      <c r="BA11" s="574" t="str">
        <f t="shared" si="0"/>
        <v/>
      </c>
      <c r="BB11" s="574" t="str">
        <f t="shared" si="0"/>
        <v/>
      </c>
      <c r="BC11" s="574" t="str">
        <f t="shared" si="0"/>
        <v/>
      </c>
      <c r="BD11" s="574" t="str">
        <f t="shared" si="0"/>
        <v/>
      </c>
      <c r="BE11" s="574" t="str">
        <f t="shared" si="0"/>
        <v/>
      </c>
      <c r="BF11" s="574" t="str">
        <f t="shared" si="0"/>
        <v/>
      </c>
      <c r="BG11" s="574" t="str">
        <f t="shared" si="0"/>
        <v/>
      </c>
      <c r="BH11" s="574" t="str">
        <f t="shared" si="0"/>
        <v/>
      </c>
      <c r="BI11" s="510">
        <f t="shared" si="1"/>
        <v>5</v>
      </c>
      <c r="BJ11" s="631">
        <f t="shared" si="3"/>
        <v>0</v>
      </c>
      <c r="BK11" s="632" t="str">
        <f t="shared" si="4"/>
        <v>0 to &lt;= 50 ML Contaminated, Lined, Arid</v>
      </c>
    </row>
    <row r="12" spans="1:63">
      <c r="A12" s="532"/>
      <c r="B12" s="562">
        <f t="shared" si="5"/>
        <v>4</v>
      </c>
      <c r="C12" s="138"/>
      <c r="D12" s="591"/>
      <c r="E12" s="57" t="s">
        <v>191</v>
      </c>
      <c r="F12" s="57" t="s">
        <v>187</v>
      </c>
      <c r="G12" s="57" t="str">
        <f>G9</f>
        <v>Pasture</v>
      </c>
      <c r="H12" s="57" t="s">
        <v>193</v>
      </c>
      <c r="I12" s="57" t="s">
        <v>1990</v>
      </c>
      <c r="J12" s="67"/>
      <c r="K12" s="55"/>
      <c r="L12" s="494"/>
      <c r="M12" s="574" t="str">
        <f t="shared" si="2"/>
        <v/>
      </c>
      <c r="N12" s="574" t="str">
        <f t="shared" si="0"/>
        <v/>
      </c>
      <c r="O12" s="574" t="str">
        <f t="shared" si="0"/>
        <v/>
      </c>
      <c r="P12" s="574">
        <f t="shared" si="0"/>
        <v>0</v>
      </c>
      <c r="Q12" s="574" t="str">
        <f t="shared" si="0"/>
        <v/>
      </c>
      <c r="R12" s="574" t="str">
        <f t="shared" si="0"/>
        <v/>
      </c>
      <c r="S12" s="574" t="str">
        <f t="shared" si="0"/>
        <v/>
      </c>
      <c r="T12" s="574" t="str">
        <f t="shared" si="0"/>
        <v/>
      </c>
      <c r="U12" s="574" t="str">
        <f t="shared" si="0"/>
        <v/>
      </c>
      <c r="V12" s="574" t="str">
        <f t="shared" si="0"/>
        <v/>
      </c>
      <c r="W12" s="574" t="str">
        <f t="shared" si="0"/>
        <v/>
      </c>
      <c r="X12" s="574" t="str">
        <f t="shared" si="0"/>
        <v/>
      </c>
      <c r="Y12" s="574" t="str">
        <f t="shared" si="0"/>
        <v/>
      </c>
      <c r="Z12" s="574" t="str">
        <f t="shared" si="0"/>
        <v/>
      </c>
      <c r="AA12" s="574" t="str">
        <f t="shared" si="0"/>
        <v/>
      </c>
      <c r="AB12" s="574" t="str">
        <f t="shared" si="0"/>
        <v/>
      </c>
      <c r="AC12" s="574" t="str">
        <f t="shared" si="0"/>
        <v/>
      </c>
      <c r="AD12" s="574" t="str">
        <f t="shared" si="0"/>
        <v/>
      </c>
      <c r="AE12" s="574" t="str">
        <f t="shared" si="0"/>
        <v/>
      </c>
      <c r="AF12" s="574" t="str">
        <f t="shared" si="0"/>
        <v/>
      </c>
      <c r="AG12" s="574" t="str">
        <f t="shared" si="0"/>
        <v/>
      </c>
      <c r="AH12" s="574" t="str">
        <f t="shared" si="0"/>
        <v/>
      </c>
      <c r="AI12" s="574" t="str">
        <f t="shared" si="0"/>
        <v/>
      </c>
      <c r="AJ12" s="574" t="str">
        <f t="shared" si="0"/>
        <v/>
      </c>
      <c r="AK12" s="574" t="str">
        <f t="shared" si="0"/>
        <v/>
      </c>
      <c r="AL12" s="574" t="str">
        <f t="shared" si="0"/>
        <v/>
      </c>
      <c r="AM12" s="574" t="str">
        <f t="shared" si="0"/>
        <v/>
      </c>
      <c r="AN12" s="574" t="str">
        <f t="shared" si="0"/>
        <v/>
      </c>
      <c r="AO12" s="574" t="str">
        <f t="shared" si="0"/>
        <v/>
      </c>
      <c r="AP12" s="574" t="str">
        <f t="shared" si="0"/>
        <v/>
      </c>
      <c r="AQ12" s="574" t="str">
        <f t="shared" si="0"/>
        <v/>
      </c>
      <c r="AR12" s="574" t="str">
        <f t="shared" si="0"/>
        <v/>
      </c>
      <c r="AS12" s="574" t="str">
        <f t="shared" si="0"/>
        <v/>
      </c>
      <c r="AT12" s="574" t="str">
        <f t="shared" si="0"/>
        <v/>
      </c>
      <c r="AU12" s="574" t="str">
        <f t="shared" si="0"/>
        <v/>
      </c>
      <c r="AV12" s="574" t="str">
        <f t="shared" si="0"/>
        <v/>
      </c>
      <c r="AW12" s="574" t="str">
        <f t="shared" si="0"/>
        <v/>
      </c>
      <c r="AX12" s="574" t="str">
        <f t="shared" si="0"/>
        <v/>
      </c>
      <c r="AY12" s="574" t="str">
        <f t="shared" si="0"/>
        <v/>
      </c>
      <c r="AZ12" s="574" t="str">
        <f t="shared" si="0"/>
        <v/>
      </c>
      <c r="BA12" s="574" t="str">
        <f t="shared" si="0"/>
        <v/>
      </c>
      <c r="BB12" s="574" t="str">
        <f t="shared" si="0"/>
        <v/>
      </c>
      <c r="BC12" s="574" t="str">
        <f t="shared" si="0"/>
        <v/>
      </c>
      <c r="BD12" s="574" t="str">
        <f t="shared" si="0"/>
        <v/>
      </c>
      <c r="BE12" s="574" t="str">
        <f t="shared" si="0"/>
        <v/>
      </c>
      <c r="BF12" s="574" t="str">
        <f t="shared" si="0"/>
        <v/>
      </c>
      <c r="BG12" s="574" t="str">
        <f t="shared" si="0"/>
        <v/>
      </c>
      <c r="BH12" s="574" t="str">
        <f t="shared" si="0"/>
        <v/>
      </c>
      <c r="BI12" s="510">
        <f t="shared" si="1"/>
        <v>6</v>
      </c>
      <c r="BJ12" s="631">
        <f t="shared" si="3"/>
        <v>0</v>
      </c>
      <c r="BK12" s="632" t="str">
        <f t="shared" si="4"/>
        <v>0 to &lt;= 50 ML Contaminated, Unlined, Pasture</v>
      </c>
    </row>
    <row r="13" spans="1:63">
      <c r="A13" s="532"/>
      <c r="B13" s="562">
        <f t="shared" si="5"/>
        <v>5</v>
      </c>
      <c r="C13" s="138"/>
      <c r="D13" s="591"/>
      <c r="E13" s="57" t="s">
        <v>191</v>
      </c>
      <c r="F13" s="57" t="s">
        <v>187</v>
      </c>
      <c r="G13" s="57" t="str">
        <f t="shared" ref="G13:G66" si="6">G10</f>
        <v>Native</v>
      </c>
      <c r="H13" s="57" t="s">
        <v>193</v>
      </c>
      <c r="I13" s="57" t="s">
        <v>1990</v>
      </c>
      <c r="J13" s="67"/>
      <c r="K13" s="55"/>
      <c r="L13" s="494"/>
      <c r="M13" s="574" t="str">
        <f t="shared" si="2"/>
        <v/>
      </c>
      <c r="N13" s="574" t="str">
        <f t="shared" si="0"/>
        <v/>
      </c>
      <c r="O13" s="574" t="str">
        <f t="shared" si="0"/>
        <v/>
      </c>
      <c r="P13" s="574" t="str">
        <f t="shared" si="0"/>
        <v/>
      </c>
      <c r="Q13" s="574">
        <f t="shared" si="0"/>
        <v>0</v>
      </c>
      <c r="R13" s="574" t="str">
        <f t="shared" si="0"/>
        <v/>
      </c>
      <c r="S13" s="574" t="str">
        <f t="shared" si="0"/>
        <v/>
      </c>
      <c r="T13" s="574" t="str">
        <f t="shared" si="0"/>
        <v/>
      </c>
      <c r="U13" s="574" t="str">
        <f t="shared" si="0"/>
        <v/>
      </c>
      <c r="V13" s="574" t="str">
        <f t="shared" si="0"/>
        <v/>
      </c>
      <c r="W13" s="574" t="str">
        <f t="shared" si="0"/>
        <v/>
      </c>
      <c r="X13" s="574" t="str">
        <f t="shared" si="0"/>
        <v/>
      </c>
      <c r="Y13" s="574" t="str">
        <f t="shared" si="0"/>
        <v/>
      </c>
      <c r="Z13" s="574" t="str">
        <f t="shared" si="0"/>
        <v/>
      </c>
      <c r="AA13" s="574" t="str">
        <f t="shared" si="0"/>
        <v/>
      </c>
      <c r="AB13" s="574" t="str">
        <f t="shared" si="0"/>
        <v/>
      </c>
      <c r="AC13" s="574" t="str">
        <f t="shared" si="0"/>
        <v/>
      </c>
      <c r="AD13" s="574" t="str">
        <f t="shared" si="0"/>
        <v/>
      </c>
      <c r="AE13" s="574" t="str">
        <f t="shared" si="0"/>
        <v/>
      </c>
      <c r="AF13" s="574" t="str">
        <f t="shared" si="0"/>
        <v/>
      </c>
      <c r="AG13" s="574" t="str">
        <f t="shared" si="0"/>
        <v/>
      </c>
      <c r="AH13" s="574" t="str">
        <f t="shared" si="0"/>
        <v/>
      </c>
      <c r="AI13" s="574" t="str">
        <f t="shared" si="0"/>
        <v/>
      </c>
      <c r="AJ13" s="574" t="str">
        <f t="shared" si="0"/>
        <v/>
      </c>
      <c r="AK13" s="574" t="str">
        <f t="shared" si="0"/>
        <v/>
      </c>
      <c r="AL13" s="574" t="str">
        <f t="shared" si="0"/>
        <v/>
      </c>
      <c r="AM13" s="574" t="str">
        <f t="shared" si="0"/>
        <v/>
      </c>
      <c r="AN13" s="574" t="str">
        <f t="shared" si="0"/>
        <v/>
      </c>
      <c r="AO13" s="574" t="str">
        <f t="shared" si="0"/>
        <v/>
      </c>
      <c r="AP13" s="574" t="str">
        <f t="shared" si="0"/>
        <v/>
      </c>
      <c r="AQ13" s="574" t="str">
        <f t="shared" si="0"/>
        <v/>
      </c>
      <c r="AR13" s="574" t="str">
        <f t="shared" si="0"/>
        <v/>
      </c>
      <c r="AS13" s="574" t="str">
        <f t="shared" si="0"/>
        <v/>
      </c>
      <c r="AT13" s="574" t="str">
        <f t="shared" si="0"/>
        <v/>
      </c>
      <c r="AU13" s="574" t="str">
        <f t="shared" si="0"/>
        <v/>
      </c>
      <c r="AV13" s="574" t="str">
        <f t="shared" si="0"/>
        <v/>
      </c>
      <c r="AW13" s="574" t="str">
        <f t="shared" si="0"/>
        <v/>
      </c>
      <c r="AX13" s="574" t="str">
        <f t="shared" si="0"/>
        <v/>
      </c>
      <c r="AY13" s="574" t="str">
        <f t="shared" si="0"/>
        <v/>
      </c>
      <c r="AZ13" s="574" t="str">
        <f t="shared" si="0"/>
        <v/>
      </c>
      <c r="BA13" s="574" t="str">
        <f t="shared" si="0"/>
        <v/>
      </c>
      <c r="BB13" s="574" t="str">
        <f t="shared" si="0"/>
        <v/>
      </c>
      <c r="BC13" s="574" t="str">
        <f t="shared" si="0"/>
        <v/>
      </c>
      <c r="BD13" s="574" t="str">
        <f t="shared" si="0"/>
        <v/>
      </c>
      <c r="BE13" s="574" t="str">
        <f t="shared" si="0"/>
        <v/>
      </c>
      <c r="BF13" s="574" t="str">
        <f t="shared" si="0"/>
        <v/>
      </c>
      <c r="BG13" s="574" t="str">
        <f t="shared" si="0"/>
        <v/>
      </c>
      <c r="BH13" s="574" t="str">
        <f t="shared" si="0"/>
        <v/>
      </c>
      <c r="BI13" s="510">
        <f t="shared" si="1"/>
        <v>7</v>
      </c>
      <c r="BJ13" s="631">
        <f t="shared" si="3"/>
        <v>0</v>
      </c>
      <c r="BK13" s="632" t="str">
        <f t="shared" si="4"/>
        <v>0 to &lt;= 50 ML Contaminated, Unlined, Native</v>
      </c>
    </row>
    <row r="14" spans="1:63">
      <c r="A14" s="532"/>
      <c r="B14" s="562">
        <f t="shared" si="5"/>
        <v>6</v>
      </c>
      <c r="C14" s="138"/>
      <c r="D14" s="591"/>
      <c r="E14" s="57" t="s">
        <v>191</v>
      </c>
      <c r="F14" s="57" t="s">
        <v>187</v>
      </c>
      <c r="G14" s="57" t="str">
        <f t="shared" si="6"/>
        <v>Arid</v>
      </c>
      <c r="H14" s="57" t="s">
        <v>193</v>
      </c>
      <c r="I14" s="57" t="s">
        <v>1990</v>
      </c>
      <c r="J14" s="67"/>
      <c r="K14" s="55"/>
      <c r="L14" s="494"/>
      <c r="M14" s="574" t="str">
        <f t="shared" si="2"/>
        <v/>
      </c>
      <c r="N14" s="574" t="str">
        <f t="shared" si="0"/>
        <v/>
      </c>
      <c r="O14" s="574" t="str">
        <f t="shared" si="0"/>
        <v/>
      </c>
      <c r="P14" s="574" t="str">
        <f t="shared" si="0"/>
        <v/>
      </c>
      <c r="Q14" s="574" t="str">
        <f t="shared" si="0"/>
        <v/>
      </c>
      <c r="R14" s="574">
        <f t="shared" si="0"/>
        <v>0</v>
      </c>
      <c r="S14" s="574" t="str">
        <f t="shared" si="0"/>
        <v/>
      </c>
      <c r="T14" s="574" t="str">
        <f t="shared" si="0"/>
        <v/>
      </c>
      <c r="U14" s="574" t="str">
        <f t="shared" si="0"/>
        <v/>
      </c>
      <c r="V14" s="574" t="str">
        <f t="shared" si="0"/>
        <v/>
      </c>
      <c r="W14" s="574" t="str">
        <f t="shared" si="0"/>
        <v/>
      </c>
      <c r="X14" s="574" t="str">
        <f t="shared" si="0"/>
        <v/>
      </c>
      <c r="Y14" s="574" t="str">
        <f t="shared" si="0"/>
        <v/>
      </c>
      <c r="Z14" s="574" t="str">
        <f t="shared" si="0"/>
        <v/>
      </c>
      <c r="AA14" s="574" t="str">
        <f t="shared" si="0"/>
        <v/>
      </c>
      <c r="AB14" s="574" t="str">
        <f t="shared" si="0"/>
        <v/>
      </c>
      <c r="AC14" s="574" t="str">
        <f t="shared" si="0"/>
        <v/>
      </c>
      <c r="AD14" s="574" t="str">
        <f t="shared" si="0"/>
        <v/>
      </c>
      <c r="AE14" s="574" t="str">
        <f t="shared" si="0"/>
        <v/>
      </c>
      <c r="AF14" s="574" t="str">
        <f t="shared" si="0"/>
        <v/>
      </c>
      <c r="AG14" s="574" t="str">
        <f t="shared" si="0"/>
        <v/>
      </c>
      <c r="AH14" s="574" t="str">
        <f t="shared" ref="AH14:AW31" si="7">IF($BK14=AH$7,$K14,"")</f>
        <v/>
      </c>
      <c r="AI14" s="574" t="str">
        <f t="shared" si="7"/>
        <v/>
      </c>
      <c r="AJ14" s="574" t="str">
        <f t="shared" si="7"/>
        <v/>
      </c>
      <c r="AK14" s="574" t="str">
        <f t="shared" si="7"/>
        <v/>
      </c>
      <c r="AL14" s="574" t="str">
        <f t="shared" si="7"/>
        <v/>
      </c>
      <c r="AM14" s="574" t="str">
        <f t="shared" si="7"/>
        <v/>
      </c>
      <c r="AN14" s="574" t="str">
        <f t="shared" si="7"/>
        <v/>
      </c>
      <c r="AO14" s="574" t="str">
        <f t="shared" si="7"/>
        <v/>
      </c>
      <c r="AP14" s="574" t="str">
        <f t="shared" si="7"/>
        <v/>
      </c>
      <c r="AQ14" s="574" t="str">
        <f t="shared" si="7"/>
        <v/>
      </c>
      <c r="AR14" s="574" t="str">
        <f t="shared" si="7"/>
        <v/>
      </c>
      <c r="AS14" s="574" t="str">
        <f t="shared" si="7"/>
        <v/>
      </c>
      <c r="AT14" s="574" t="str">
        <f t="shared" si="7"/>
        <v/>
      </c>
      <c r="AU14" s="574" t="str">
        <f t="shared" si="7"/>
        <v/>
      </c>
      <c r="AV14" s="574" t="str">
        <f t="shared" si="7"/>
        <v/>
      </c>
      <c r="AW14" s="574" t="str">
        <f t="shared" si="7"/>
        <v/>
      </c>
      <c r="AX14" s="574" t="str">
        <f t="shared" ref="AX14:BH49" si="8">IF($BK14=AX$7,$K14,"")</f>
        <v/>
      </c>
      <c r="AY14" s="574" t="str">
        <f t="shared" si="8"/>
        <v/>
      </c>
      <c r="AZ14" s="574" t="str">
        <f t="shared" si="8"/>
        <v/>
      </c>
      <c r="BA14" s="574" t="str">
        <f t="shared" si="8"/>
        <v/>
      </c>
      <c r="BB14" s="574" t="str">
        <f t="shared" si="8"/>
        <v/>
      </c>
      <c r="BC14" s="574" t="str">
        <f t="shared" si="8"/>
        <v/>
      </c>
      <c r="BD14" s="574" t="str">
        <f t="shared" si="8"/>
        <v/>
      </c>
      <c r="BE14" s="574" t="str">
        <f t="shared" si="8"/>
        <v/>
      </c>
      <c r="BF14" s="574" t="str">
        <f t="shared" si="8"/>
        <v/>
      </c>
      <c r="BG14" s="574" t="str">
        <f t="shared" si="8"/>
        <v/>
      </c>
      <c r="BH14" s="574" t="str">
        <f t="shared" si="8"/>
        <v/>
      </c>
      <c r="BI14" s="510">
        <f t="shared" si="1"/>
        <v>8</v>
      </c>
      <c r="BJ14" s="631">
        <f t="shared" si="3"/>
        <v>0</v>
      </c>
      <c r="BK14" s="632" t="str">
        <f t="shared" si="4"/>
        <v>0 to &lt;= 50 ML Contaminated, Unlined, Arid</v>
      </c>
    </row>
    <row r="15" spans="1:63">
      <c r="A15" s="532"/>
      <c r="B15" s="562">
        <f t="shared" si="5"/>
        <v>7</v>
      </c>
      <c r="C15" s="138"/>
      <c r="D15" s="591"/>
      <c r="E15" s="57" t="s">
        <v>192</v>
      </c>
      <c r="F15" s="57" t="s">
        <v>187</v>
      </c>
      <c r="G15" s="57" t="str">
        <f t="shared" si="6"/>
        <v>Pasture</v>
      </c>
      <c r="H15" s="57" t="str">
        <f>H9</f>
        <v>Lined</v>
      </c>
      <c r="I15" s="57" t="s">
        <v>1990</v>
      </c>
      <c r="J15" s="67"/>
      <c r="K15" s="55"/>
      <c r="L15" s="494"/>
      <c r="M15" s="574" t="str">
        <f t="shared" si="2"/>
        <v/>
      </c>
      <c r="N15" s="574" t="str">
        <f t="shared" si="2"/>
        <v/>
      </c>
      <c r="O15" s="574" t="str">
        <f t="shared" si="2"/>
        <v/>
      </c>
      <c r="P15" s="574" t="str">
        <f t="shared" si="2"/>
        <v/>
      </c>
      <c r="Q15" s="574" t="str">
        <f t="shared" si="2"/>
        <v/>
      </c>
      <c r="R15" s="574" t="str">
        <f t="shared" si="2"/>
        <v/>
      </c>
      <c r="S15" s="574">
        <f t="shared" si="2"/>
        <v>0</v>
      </c>
      <c r="T15" s="574" t="str">
        <f t="shared" si="2"/>
        <v/>
      </c>
      <c r="U15" s="574" t="str">
        <f t="shared" si="2"/>
        <v/>
      </c>
      <c r="V15" s="574" t="str">
        <f t="shared" si="2"/>
        <v/>
      </c>
      <c r="W15" s="574" t="str">
        <f t="shared" si="2"/>
        <v/>
      </c>
      <c r="X15" s="574" t="str">
        <f t="shared" si="2"/>
        <v/>
      </c>
      <c r="Y15" s="574" t="str">
        <f t="shared" si="2"/>
        <v/>
      </c>
      <c r="Z15" s="574" t="str">
        <f t="shared" si="2"/>
        <v/>
      </c>
      <c r="AA15" s="574" t="str">
        <f t="shared" si="2"/>
        <v/>
      </c>
      <c r="AB15" s="574" t="str">
        <f t="shared" si="2"/>
        <v/>
      </c>
      <c r="AC15" s="574" t="str">
        <f t="shared" ref="AC15:AR32" si="9">IF($BK15=AC$7,$K15,"")</f>
        <v/>
      </c>
      <c r="AD15" s="574" t="str">
        <f t="shared" si="9"/>
        <v/>
      </c>
      <c r="AE15" s="574" t="str">
        <f t="shared" si="9"/>
        <v/>
      </c>
      <c r="AF15" s="574" t="str">
        <f t="shared" si="9"/>
        <v/>
      </c>
      <c r="AG15" s="574" t="str">
        <f t="shared" si="9"/>
        <v/>
      </c>
      <c r="AH15" s="574" t="str">
        <f t="shared" si="9"/>
        <v/>
      </c>
      <c r="AI15" s="574" t="str">
        <f t="shared" si="9"/>
        <v/>
      </c>
      <c r="AJ15" s="574" t="str">
        <f t="shared" si="9"/>
        <v/>
      </c>
      <c r="AK15" s="574" t="str">
        <f t="shared" si="9"/>
        <v/>
      </c>
      <c r="AL15" s="574" t="str">
        <f t="shared" si="9"/>
        <v/>
      </c>
      <c r="AM15" s="574" t="str">
        <f t="shared" si="9"/>
        <v/>
      </c>
      <c r="AN15" s="574" t="str">
        <f t="shared" si="9"/>
        <v/>
      </c>
      <c r="AO15" s="574" t="str">
        <f t="shared" si="9"/>
        <v/>
      </c>
      <c r="AP15" s="574" t="str">
        <f t="shared" si="9"/>
        <v/>
      </c>
      <c r="AQ15" s="574" t="str">
        <f t="shared" si="9"/>
        <v/>
      </c>
      <c r="AR15" s="574" t="str">
        <f t="shared" si="9"/>
        <v/>
      </c>
      <c r="AS15" s="574" t="str">
        <f t="shared" si="7"/>
        <v/>
      </c>
      <c r="AT15" s="574" t="str">
        <f t="shared" si="7"/>
        <v/>
      </c>
      <c r="AU15" s="574" t="str">
        <f t="shared" si="7"/>
        <v/>
      </c>
      <c r="AV15" s="574" t="str">
        <f t="shared" si="7"/>
        <v/>
      </c>
      <c r="AW15" s="574" t="str">
        <f t="shared" si="7"/>
        <v/>
      </c>
      <c r="AX15" s="574" t="str">
        <f t="shared" si="8"/>
        <v/>
      </c>
      <c r="AY15" s="574" t="str">
        <f t="shared" si="8"/>
        <v/>
      </c>
      <c r="AZ15" s="574" t="str">
        <f t="shared" si="8"/>
        <v/>
      </c>
      <c r="BA15" s="574" t="str">
        <f t="shared" si="8"/>
        <v/>
      </c>
      <c r="BB15" s="574" t="str">
        <f t="shared" si="8"/>
        <v/>
      </c>
      <c r="BC15" s="574" t="str">
        <f t="shared" si="8"/>
        <v/>
      </c>
      <c r="BD15" s="574" t="str">
        <f t="shared" si="8"/>
        <v/>
      </c>
      <c r="BE15" s="574" t="str">
        <f t="shared" si="8"/>
        <v/>
      </c>
      <c r="BF15" s="574" t="str">
        <f t="shared" si="8"/>
        <v/>
      </c>
      <c r="BG15" s="574" t="str">
        <f t="shared" si="8"/>
        <v/>
      </c>
      <c r="BH15" s="574" t="str">
        <f t="shared" si="8"/>
        <v/>
      </c>
      <c r="BI15" s="510">
        <f t="shared" si="1"/>
        <v>9</v>
      </c>
      <c r="BJ15" s="631">
        <f t="shared" si="3"/>
        <v>0</v>
      </c>
      <c r="BK15" s="632" t="str">
        <f t="shared" si="4"/>
        <v>0 to &lt;= 50 ML Clean, Lined, Pasture</v>
      </c>
    </row>
    <row r="16" spans="1:63">
      <c r="A16" s="532"/>
      <c r="B16" s="562">
        <f t="shared" si="5"/>
        <v>8</v>
      </c>
      <c r="C16" s="138"/>
      <c r="D16" s="591"/>
      <c r="E16" s="57" t="s">
        <v>192</v>
      </c>
      <c r="F16" s="57" t="s">
        <v>187</v>
      </c>
      <c r="G16" s="57" t="str">
        <f t="shared" si="6"/>
        <v>Native</v>
      </c>
      <c r="H16" s="57" t="str">
        <f t="shared" ref="H16:H65" si="10">H10</f>
        <v>Lined</v>
      </c>
      <c r="I16" s="57" t="s">
        <v>1990</v>
      </c>
      <c r="J16" s="67"/>
      <c r="K16" s="55"/>
      <c r="L16" s="494"/>
      <c r="M16" s="574" t="str">
        <f t="shared" si="2"/>
        <v/>
      </c>
      <c r="N16" s="574" t="str">
        <f t="shared" si="2"/>
        <v/>
      </c>
      <c r="O16" s="574" t="str">
        <f t="shared" si="2"/>
        <v/>
      </c>
      <c r="P16" s="574" t="str">
        <f t="shared" si="2"/>
        <v/>
      </c>
      <c r="Q16" s="574" t="str">
        <f t="shared" si="2"/>
        <v/>
      </c>
      <c r="R16" s="574" t="str">
        <f t="shared" si="2"/>
        <v/>
      </c>
      <c r="S16" s="574" t="str">
        <f t="shared" si="2"/>
        <v/>
      </c>
      <c r="T16" s="574">
        <f t="shared" si="2"/>
        <v>0</v>
      </c>
      <c r="U16" s="574" t="str">
        <f t="shared" si="2"/>
        <v/>
      </c>
      <c r="V16" s="574" t="str">
        <f t="shared" si="2"/>
        <v/>
      </c>
      <c r="W16" s="574" t="str">
        <f t="shared" si="2"/>
        <v/>
      </c>
      <c r="X16" s="574" t="str">
        <f t="shared" si="2"/>
        <v/>
      </c>
      <c r="Y16" s="574" t="str">
        <f t="shared" si="2"/>
        <v/>
      </c>
      <c r="Z16" s="574" t="str">
        <f t="shared" si="2"/>
        <v/>
      </c>
      <c r="AA16" s="574" t="str">
        <f t="shared" si="2"/>
        <v/>
      </c>
      <c r="AB16" s="574" t="str">
        <f t="shared" si="2"/>
        <v/>
      </c>
      <c r="AC16" s="574" t="str">
        <f t="shared" si="9"/>
        <v/>
      </c>
      <c r="AD16" s="574" t="str">
        <f t="shared" si="9"/>
        <v/>
      </c>
      <c r="AE16" s="574" t="str">
        <f t="shared" si="9"/>
        <v/>
      </c>
      <c r="AF16" s="574" t="str">
        <f t="shared" si="9"/>
        <v/>
      </c>
      <c r="AG16" s="574" t="str">
        <f t="shared" si="9"/>
        <v/>
      </c>
      <c r="AH16" s="574" t="str">
        <f t="shared" si="9"/>
        <v/>
      </c>
      <c r="AI16" s="574" t="str">
        <f t="shared" si="9"/>
        <v/>
      </c>
      <c r="AJ16" s="574" t="str">
        <f t="shared" si="9"/>
        <v/>
      </c>
      <c r="AK16" s="574" t="str">
        <f t="shared" si="9"/>
        <v/>
      </c>
      <c r="AL16" s="574" t="str">
        <f t="shared" si="9"/>
        <v/>
      </c>
      <c r="AM16" s="574" t="str">
        <f t="shared" si="9"/>
        <v/>
      </c>
      <c r="AN16" s="574" t="str">
        <f t="shared" si="9"/>
        <v/>
      </c>
      <c r="AO16" s="574" t="str">
        <f t="shared" si="9"/>
        <v/>
      </c>
      <c r="AP16" s="574" t="str">
        <f t="shared" si="9"/>
        <v/>
      </c>
      <c r="AQ16" s="574" t="str">
        <f t="shared" si="9"/>
        <v/>
      </c>
      <c r="AR16" s="574" t="str">
        <f t="shared" si="9"/>
        <v/>
      </c>
      <c r="AS16" s="574" t="str">
        <f t="shared" si="7"/>
        <v/>
      </c>
      <c r="AT16" s="574" t="str">
        <f t="shared" si="7"/>
        <v/>
      </c>
      <c r="AU16" s="574" t="str">
        <f t="shared" si="7"/>
        <v/>
      </c>
      <c r="AV16" s="574" t="str">
        <f t="shared" si="7"/>
        <v/>
      </c>
      <c r="AW16" s="574" t="str">
        <f t="shared" si="7"/>
        <v/>
      </c>
      <c r="AX16" s="574" t="str">
        <f t="shared" si="8"/>
        <v/>
      </c>
      <c r="AY16" s="574" t="str">
        <f t="shared" si="8"/>
        <v/>
      </c>
      <c r="AZ16" s="574" t="str">
        <f t="shared" si="8"/>
        <v/>
      </c>
      <c r="BA16" s="574" t="str">
        <f t="shared" si="8"/>
        <v/>
      </c>
      <c r="BB16" s="574" t="str">
        <f t="shared" si="8"/>
        <v/>
      </c>
      <c r="BC16" s="574" t="str">
        <f t="shared" si="8"/>
        <v/>
      </c>
      <c r="BD16" s="574" t="str">
        <f t="shared" si="8"/>
        <v/>
      </c>
      <c r="BE16" s="574" t="str">
        <f t="shared" si="8"/>
        <v/>
      </c>
      <c r="BF16" s="574" t="str">
        <f t="shared" si="8"/>
        <v/>
      </c>
      <c r="BG16" s="574" t="str">
        <f t="shared" si="8"/>
        <v/>
      </c>
      <c r="BH16" s="574" t="str">
        <f t="shared" si="8"/>
        <v/>
      </c>
      <c r="BI16" s="510">
        <f t="shared" si="1"/>
        <v>10</v>
      </c>
      <c r="BJ16" s="631">
        <f t="shared" si="3"/>
        <v>0</v>
      </c>
      <c r="BK16" s="632" t="str">
        <f t="shared" si="4"/>
        <v>0 to &lt;= 50 ML Clean, Lined, Native</v>
      </c>
    </row>
    <row r="17" spans="1:63">
      <c r="A17" s="532"/>
      <c r="B17" s="562">
        <f t="shared" si="5"/>
        <v>9</v>
      </c>
      <c r="C17" s="138"/>
      <c r="D17" s="591"/>
      <c r="E17" s="57" t="s">
        <v>192</v>
      </c>
      <c r="F17" s="57" t="s">
        <v>187</v>
      </c>
      <c r="G17" s="57" t="str">
        <f t="shared" si="6"/>
        <v>Arid</v>
      </c>
      <c r="H17" s="57" t="str">
        <f t="shared" si="10"/>
        <v>Lined</v>
      </c>
      <c r="I17" s="57" t="s">
        <v>1990</v>
      </c>
      <c r="J17" s="67"/>
      <c r="K17" s="55"/>
      <c r="L17" s="494"/>
      <c r="M17" s="574" t="str">
        <f t="shared" si="2"/>
        <v/>
      </c>
      <c r="N17" s="574" t="str">
        <f t="shared" si="2"/>
        <v/>
      </c>
      <c r="O17" s="574" t="str">
        <f t="shared" si="2"/>
        <v/>
      </c>
      <c r="P17" s="574" t="str">
        <f t="shared" si="2"/>
        <v/>
      </c>
      <c r="Q17" s="574" t="str">
        <f t="shared" si="2"/>
        <v/>
      </c>
      <c r="R17" s="574" t="str">
        <f t="shared" si="2"/>
        <v/>
      </c>
      <c r="S17" s="574" t="str">
        <f t="shared" si="2"/>
        <v/>
      </c>
      <c r="T17" s="574" t="str">
        <f t="shared" si="2"/>
        <v/>
      </c>
      <c r="U17" s="574">
        <f t="shared" si="2"/>
        <v>0</v>
      </c>
      <c r="V17" s="574" t="str">
        <f t="shared" si="2"/>
        <v/>
      </c>
      <c r="W17" s="574" t="str">
        <f t="shared" si="2"/>
        <v/>
      </c>
      <c r="X17" s="574" t="str">
        <f t="shared" si="2"/>
        <v/>
      </c>
      <c r="Y17" s="574" t="str">
        <f t="shared" si="2"/>
        <v/>
      </c>
      <c r="Z17" s="574" t="str">
        <f t="shared" si="2"/>
        <v/>
      </c>
      <c r="AA17" s="574" t="str">
        <f t="shared" si="2"/>
        <v/>
      </c>
      <c r="AB17" s="574" t="str">
        <f t="shared" si="2"/>
        <v/>
      </c>
      <c r="AC17" s="574" t="str">
        <f t="shared" si="9"/>
        <v/>
      </c>
      <c r="AD17" s="574" t="str">
        <f t="shared" si="9"/>
        <v/>
      </c>
      <c r="AE17" s="574" t="str">
        <f t="shared" si="9"/>
        <v/>
      </c>
      <c r="AF17" s="574" t="str">
        <f t="shared" si="9"/>
        <v/>
      </c>
      <c r="AG17" s="574" t="str">
        <f t="shared" si="9"/>
        <v/>
      </c>
      <c r="AH17" s="574" t="str">
        <f t="shared" si="9"/>
        <v/>
      </c>
      <c r="AI17" s="574" t="str">
        <f t="shared" si="9"/>
        <v/>
      </c>
      <c r="AJ17" s="574" t="str">
        <f t="shared" si="9"/>
        <v/>
      </c>
      <c r="AK17" s="574" t="str">
        <f t="shared" si="9"/>
        <v/>
      </c>
      <c r="AL17" s="574" t="str">
        <f t="shared" si="9"/>
        <v/>
      </c>
      <c r="AM17" s="574" t="str">
        <f t="shared" si="9"/>
        <v/>
      </c>
      <c r="AN17" s="574" t="str">
        <f t="shared" si="9"/>
        <v/>
      </c>
      <c r="AO17" s="574" t="str">
        <f t="shared" si="9"/>
        <v/>
      </c>
      <c r="AP17" s="574" t="str">
        <f t="shared" si="9"/>
        <v/>
      </c>
      <c r="AQ17" s="574" t="str">
        <f t="shared" si="9"/>
        <v/>
      </c>
      <c r="AR17" s="574" t="str">
        <f t="shared" si="9"/>
        <v/>
      </c>
      <c r="AS17" s="574" t="str">
        <f t="shared" si="7"/>
        <v/>
      </c>
      <c r="AT17" s="574" t="str">
        <f t="shared" si="7"/>
        <v/>
      </c>
      <c r="AU17" s="574" t="str">
        <f t="shared" si="7"/>
        <v/>
      </c>
      <c r="AV17" s="574" t="str">
        <f t="shared" si="7"/>
        <v/>
      </c>
      <c r="AW17" s="574" t="str">
        <f t="shared" si="7"/>
        <v/>
      </c>
      <c r="AX17" s="574" t="str">
        <f t="shared" si="8"/>
        <v/>
      </c>
      <c r="AY17" s="574" t="str">
        <f t="shared" si="8"/>
        <v/>
      </c>
      <c r="AZ17" s="574" t="str">
        <f t="shared" si="8"/>
        <v/>
      </c>
      <c r="BA17" s="574" t="str">
        <f t="shared" si="8"/>
        <v/>
      </c>
      <c r="BB17" s="574" t="str">
        <f t="shared" si="8"/>
        <v/>
      </c>
      <c r="BC17" s="574" t="str">
        <f t="shared" si="8"/>
        <v/>
      </c>
      <c r="BD17" s="574" t="str">
        <f t="shared" si="8"/>
        <v/>
      </c>
      <c r="BE17" s="574" t="str">
        <f t="shared" si="8"/>
        <v/>
      </c>
      <c r="BF17" s="574" t="str">
        <f t="shared" si="8"/>
        <v/>
      </c>
      <c r="BG17" s="574" t="str">
        <f t="shared" si="8"/>
        <v/>
      </c>
      <c r="BH17" s="574" t="str">
        <f t="shared" si="8"/>
        <v/>
      </c>
      <c r="BI17" s="510">
        <f t="shared" si="1"/>
        <v>11</v>
      </c>
      <c r="BJ17" s="631">
        <f t="shared" si="3"/>
        <v>0</v>
      </c>
      <c r="BK17" s="632" t="str">
        <f t="shared" si="4"/>
        <v>0 to &lt;= 50 ML Clean, Lined, Arid</v>
      </c>
    </row>
    <row r="18" spans="1:63">
      <c r="A18" s="532"/>
      <c r="B18" s="562">
        <f t="shared" si="5"/>
        <v>10</v>
      </c>
      <c r="C18" s="138"/>
      <c r="D18" s="591"/>
      <c r="E18" s="57" t="s">
        <v>192</v>
      </c>
      <c r="F18" s="57" t="s">
        <v>187</v>
      </c>
      <c r="G18" s="57" t="str">
        <f t="shared" si="6"/>
        <v>Pasture</v>
      </c>
      <c r="H18" s="57" t="str">
        <f t="shared" si="10"/>
        <v>Unlined</v>
      </c>
      <c r="I18" s="57" t="s">
        <v>1990</v>
      </c>
      <c r="J18" s="67"/>
      <c r="K18" s="55"/>
      <c r="L18" s="494"/>
      <c r="M18" s="574" t="str">
        <f t="shared" si="2"/>
        <v/>
      </c>
      <c r="N18" s="574" t="str">
        <f t="shared" si="2"/>
        <v/>
      </c>
      <c r="O18" s="574" t="str">
        <f t="shared" si="2"/>
        <v/>
      </c>
      <c r="P18" s="574" t="str">
        <f t="shared" si="2"/>
        <v/>
      </c>
      <c r="Q18" s="574" t="str">
        <f t="shared" si="2"/>
        <v/>
      </c>
      <c r="R18" s="574" t="str">
        <f t="shared" si="2"/>
        <v/>
      </c>
      <c r="S18" s="574" t="str">
        <f t="shared" si="2"/>
        <v/>
      </c>
      <c r="T18" s="574" t="str">
        <f t="shared" si="2"/>
        <v/>
      </c>
      <c r="U18" s="574" t="str">
        <f t="shared" si="2"/>
        <v/>
      </c>
      <c r="V18" s="574">
        <f t="shared" si="2"/>
        <v>0</v>
      </c>
      <c r="W18" s="574" t="str">
        <f t="shared" si="2"/>
        <v/>
      </c>
      <c r="X18" s="574" t="str">
        <f t="shared" si="2"/>
        <v/>
      </c>
      <c r="Y18" s="574" t="str">
        <f t="shared" si="2"/>
        <v/>
      </c>
      <c r="Z18" s="574" t="str">
        <f t="shared" si="2"/>
        <v/>
      </c>
      <c r="AA18" s="574" t="str">
        <f t="shared" si="2"/>
        <v/>
      </c>
      <c r="AB18" s="574" t="str">
        <f t="shared" si="2"/>
        <v/>
      </c>
      <c r="AC18" s="574" t="str">
        <f t="shared" si="9"/>
        <v/>
      </c>
      <c r="AD18" s="574" t="str">
        <f t="shared" si="9"/>
        <v/>
      </c>
      <c r="AE18" s="574" t="str">
        <f t="shared" si="9"/>
        <v/>
      </c>
      <c r="AF18" s="574" t="str">
        <f t="shared" si="9"/>
        <v/>
      </c>
      <c r="AG18" s="574" t="str">
        <f t="shared" si="9"/>
        <v/>
      </c>
      <c r="AH18" s="574" t="str">
        <f t="shared" si="9"/>
        <v/>
      </c>
      <c r="AI18" s="574" t="str">
        <f t="shared" si="9"/>
        <v/>
      </c>
      <c r="AJ18" s="574" t="str">
        <f t="shared" si="9"/>
        <v/>
      </c>
      <c r="AK18" s="574" t="str">
        <f t="shared" si="9"/>
        <v/>
      </c>
      <c r="AL18" s="574" t="str">
        <f t="shared" si="9"/>
        <v/>
      </c>
      <c r="AM18" s="574" t="str">
        <f t="shared" si="9"/>
        <v/>
      </c>
      <c r="AN18" s="574" t="str">
        <f t="shared" si="9"/>
        <v/>
      </c>
      <c r="AO18" s="574" t="str">
        <f t="shared" si="9"/>
        <v/>
      </c>
      <c r="AP18" s="574" t="str">
        <f t="shared" si="9"/>
        <v/>
      </c>
      <c r="AQ18" s="574" t="str">
        <f t="shared" si="9"/>
        <v/>
      </c>
      <c r="AR18" s="574" t="str">
        <f t="shared" si="9"/>
        <v/>
      </c>
      <c r="AS18" s="574" t="str">
        <f t="shared" si="7"/>
        <v/>
      </c>
      <c r="AT18" s="574" t="str">
        <f t="shared" si="7"/>
        <v/>
      </c>
      <c r="AU18" s="574" t="str">
        <f t="shared" si="7"/>
        <v/>
      </c>
      <c r="AV18" s="574" t="str">
        <f t="shared" si="7"/>
        <v/>
      </c>
      <c r="AW18" s="574" t="str">
        <f t="shared" si="7"/>
        <v/>
      </c>
      <c r="AX18" s="574" t="str">
        <f t="shared" si="8"/>
        <v/>
      </c>
      <c r="AY18" s="574" t="str">
        <f t="shared" si="8"/>
        <v/>
      </c>
      <c r="AZ18" s="574" t="str">
        <f t="shared" si="8"/>
        <v/>
      </c>
      <c r="BA18" s="574" t="str">
        <f t="shared" si="8"/>
        <v/>
      </c>
      <c r="BB18" s="574" t="str">
        <f t="shared" si="8"/>
        <v/>
      </c>
      <c r="BC18" s="574" t="str">
        <f t="shared" si="8"/>
        <v/>
      </c>
      <c r="BD18" s="574" t="str">
        <f t="shared" si="8"/>
        <v/>
      </c>
      <c r="BE18" s="574" t="str">
        <f t="shared" si="8"/>
        <v/>
      </c>
      <c r="BF18" s="574" t="str">
        <f t="shared" si="8"/>
        <v/>
      </c>
      <c r="BG18" s="574" t="str">
        <f t="shared" si="8"/>
        <v/>
      </c>
      <c r="BH18" s="574" t="str">
        <f t="shared" si="8"/>
        <v/>
      </c>
      <c r="BI18" s="510">
        <f t="shared" si="1"/>
        <v>12</v>
      </c>
      <c r="BJ18" s="631">
        <f t="shared" si="3"/>
        <v>0</v>
      </c>
      <c r="BK18" s="632" t="str">
        <f t="shared" si="4"/>
        <v>0 to &lt;= 50 ML Clean, Unlined, Pasture</v>
      </c>
    </row>
    <row r="19" spans="1:63">
      <c r="A19" s="532"/>
      <c r="B19" s="562">
        <f t="shared" si="5"/>
        <v>11</v>
      </c>
      <c r="C19" s="138"/>
      <c r="D19" s="591"/>
      <c r="E19" s="57" t="s">
        <v>192</v>
      </c>
      <c r="F19" s="57" t="s">
        <v>187</v>
      </c>
      <c r="G19" s="57" t="str">
        <f t="shared" si="6"/>
        <v>Native</v>
      </c>
      <c r="H19" s="57" t="str">
        <f t="shared" si="10"/>
        <v>Unlined</v>
      </c>
      <c r="I19" s="57" t="s">
        <v>1990</v>
      </c>
      <c r="J19" s="67"/>
      <c r="K19" s="55"/>
      <c r="L19" s="494"/>
      <c r="M19" s="574" t="str">
        <f t="shared" si="2"/>
        <v/>
      </c>
      <c r="N19" s="574" t="str">
        <f t="shared" si="2"/>
        <v/>
      </c>
      <c r="O19" s="574" t="str">
        <f t="shared" si="2"/>
        <v/>
      </c>
      <c r="P19" s="574" t="str">
        <f t="shared" si="2"/>
        <v/>
      </c>
      <c r="Q19" s="574" t="str">
        <f t="shared" si="2"/>
        <v/>
      </c>
      <c r="R19" s="574" t="str">
        <f t="shared" si="2"/>
        <v/>
      </c>
      <c r="S19" s="574" t="str">
        <f t="shared" si="2"/>
        <v/>
      </c>
      <c r="T19" s="574" t="str">
        <f t="shared" si="2"/>
        <v/>
      </c>
      <c r="U19" s="574" t="str">
        <f t="shared" si="2"/>
        <v/>
      </c>
      <c r="V19" s="574" t="str">
        <f t="shared" si="2"/>
        <v/>
      </c>
      <c r="W19" s="574">
        <f t="shared" si="2"/>
        <v>0</v>
      </c>
      <c r="X19" s="574" t="str">
        <f t="shared" si="2"/>
        <v/>
      </c>
      <c r="Y19" s="574" t="str">
        <f t="shared" si="2"/>
        <v/>
      </c>
      <c r="Z19" s="574" t="str">
        <f t="shared" si="2"/>
        <v/>
      </c>
      <c r="AA19" s="574" t="str">
        <f t="shared" si="2"/>
        <v/>
      </c>
      <c r="AB19" s="574" t="str">
        <f t="shared" si="2"/>
        <v/>
      </c>
      <c r="AC19" s="574" t="str">
        <f t="shared" si="9"/>
        <v/>
      </c>
      <c r="AD19" s="574" t="str">
        <f t="shared" si="9"/>
        <v/>
      </c>
      <c r="AE19" s="574" t="str">
        <f t="shared" si="9"/>
        <v/>
      </c>
      <c r="AF19" s="574" t="str">
        <f t="shared" si="9"/>
        <v/>
      </c>
      <c r="AG19" s="574" t="str">
        <f t="shared" si="9"/>
        <v/>
      </c>
      <c r="AH19" s="574" t="str">
        <f t="shared" si="9"/>
        <v/>
      </c>
      <c r="AI19" s="574" t="str">
        <f t="shared" si="9"/>
        <v/>
      </c>
      <c r="AJ19" s="574" t="str">
        <f t="shared" si="9"/>
        <v/>
      </c>
      <c r="AK19" s="574" t="str">
        <f t="shared" si="9"/>
        <v/>
      </c>
      <c r="AL19" s="574" t="str">
        <f t="shared" si="9"/>
        <v/>
      </c>
      <c r="AM19" s="574" t="str">
        <f t="shared" si="9"/>
        <v/>
      </c>
      <c r="AN19" s="574" t="str">
        <f t="shared" si="9"/>
        <v/>
      </c>
      <c r="AO19" s="574" t="str">
        <f t="shared" si="9"/>
        <v/>
      </c>
      <c r="AP19" s="574" t="str">
        <f t="shared" si="9"/>
        <v/>
      </c>
      <c r="AQ19" s="574" t="str">
        <f t="shared" si="9"/>
        <v/>
      </c>
      <c r="AR19" s="574" t="str">
        <f t="shared" si="9"/>
        <v/>
      </c>
      <c r="AS19" s="574" t="str">
        <f t="shared" si="7"/>
        <v/>
      </c>
      <c r="AT19" s="574" t="str">
        <f t="shared" si="7"/>
        <v/>
      </c>
      <c r="AU19" s="574" t="str">
        <f t="shared" si="7"/>
        <v/>
      </c>
      <c r="AV19" s="574" t="str">
        <f t="shared" si="7"/>
        <v/>
      </c>
      <c r="AW19" s="574" t="str">
        <f t="shared" si="7"/>
        <v/>
      </c>
      <c r="AX19" s="574" t="str">
        <f t="shared" si="8"/>
        <v/>
      </c>
      <c r="AY19" s="574" t="str">
        <f t="shared" si="8"/>
        <v/>
      </c>
      <c r="AZ19" s="574" t="str">
        <f t="shared" si="8"/>
        <v/>
      </c>
      <c r="BA19" s="574" t="str">
        <f t="shared" si="8"/>
        <v/>
      </c>
      <c r="BB19" s="574" t="str">
        <f t="shared" si="8"/>
        <v/>
      </c>
      <c r="BC19" s="574" t="str">
        <f t="shared" si="8"/>
        <v/>
      </c>
      <c r="BD19" s="574" t="str">
        <f t="shared" si="8"/>
        <v/>
      </c>
      <c r="BE19" s="574" t="str">
        <f t="shared" si="8"/>
        <v/>
      </c>
      <c r="BF19" s="574" t="str">
        <f t="shared" si="8"/>
        <v/>
      </c>
      <c r="BG19" s="574" t="str">
        <f t="shared" si="8"/>
        <v/>
      </c>
      <c r="BH19" s="574" t="str">
        <f t="shared" si="8"/>
        <v/>
      </c>
      <c r="BI19" s="510">
        <f t="shared" si="1"/>
        <v>13</v>
      </c>
      <c r="BJ19" s="631">
        <f t="shared" si="3"/>
        <v>0</v>
      </c>
      <c r="BK19" s="632" t="str">
        <f t="shared" si="4"/>
        <v>0 to &lt;= 50 ML Clean, Unlined, Native</v>
      </c>
    </row>
    <row r="20" spans="1:63">
      <c r="A20" s="532"/>
      <c r="B20" s="562">
        <f t="shared" si="5"/>
        <v>12</v>
      </c>
      <c r="C20" s="138"/>
      <c r="D20" s="591"/>
      <c r="E20" s="57" t="s">
        <v>192</v>
      </c>
      <c r="F20" s="57" t="s">
        <v>187</v>
      </c>
      <c r="G20" s="57" t="str">
        <f t="shared" si="6"/>
        <v>Arid</v>
      </c>
      <c r="H20" s="57" t="str">
        <f t="shared" si="10"/>
        <v>Unlined</v>
      </c>
      <c r="I20" s="57" t="s">
        <v>1990</v>
      </c>
      <c r="J20" s="67"/>
      <c r="K20" s="55"/>
      <c r="L20" s="494"/>
      <c r="M20" s="574" t="str">
        <f t="shared" si="2"/>
        <v/>
      </c>
      <c r="N20" s="574" t="str">
        <f t="shared" si="2"/>
        <v/>
      </c>
      <c r="O20" s="574" t="str">
        <f t="shared" si="2"/>
        <v/>
      </c>
      <c r="P20" s="574" t="str">
        <f t="shared" si="2"/>
        <v/>
      </c>
      <c r="Q20" s="574" t="str">
        <f t="shared" si="2"/>
        <v/>
      </c>
      <c r="R20" s="574" t="str">
        <f t="shared" si="2"/>
        <v/>
      </c>
      <c r="S20" s="574" t="str">
        <f t="shared" si="2"/>
        <v/>
      </c>
      <c r="T20" s="574" t="str">
        <f t="shared" si="2"/>
        <v/>
      </c>
      <c r="U20" s="574" t="str">
        <f t="shared" si="2"/>
        <v/>
      </c>
      <c r="V20" s="574" t="str">
        <f t="shared" si="2"/>
        <v/>
      </c>
      <c r="W20" s="574" t="str">
        <f t="shared" si="2"/>
        <v/>
      </c>
      <c r="X20" s="574">
        <f t="shared" si="2"/>
        <v>0</v>
      </c>
      <c r="Y20" s="574" t="str">
        <f t="shared" si="2"/>
        <v/>
      </c>
      <c r="Z20" s="574" t="str">
        <f t="shared" si="2"/>
        <v/>
      </c>
      <c r="AA20" s="574" t="str">
        <f t="shared" si="2"/>
        <v/>
      </c>
      <c r="AB20" s="574" t="str">
        <f t="shared" si="2"/>
        <v/>
      </c>
      <c r="AC20" s="574" t="str">
        <f t="shared" si="9"/>
        <v/>
      </c>
      <c r="AD20" s="574" t="str">
        <f t="shared" si="9"/>
        <v/>
      </c>
      <c r="AE20" s="574" t="str">
        <f t="shared" si="9"/>
        <v/>
      </c>
      <c r="AF20" s="574" t="str">
        <f t="shared" si="9"/>
        <v/>
      </c>
      <c r="AG20" s="574" t="str">
        <f t="shared" si="9"/>
        <v/>
      </c>
      <c r="AH20" s="574" t="str">
        <f t="shared" si="9"/>
        <v/>
      </c>
      <c r="AI20" s="574" t="str">
        <f t="shared" si="9"/>
        <v/>
      </c>
      <c r="AJ20" s="574" t="str">
        <f t="shared" si="9"/>
        <v/>
      </c>
      <c r="AK20" s="574" t="str">
        <f t="shared" si="9"/>
        <v/>
      </c>
      <c r="AL20" s="574" t="str">
        <f t="shared" si="9"/>
        <v/>
      </c>
      <c r="AM20" s="574" t="str">
        <f t="shared" si="9"/>
        <v/>
      </c>
      <c r="AN20" s="574" t="str">
        <f t="shared" si="9"/>
        <v/>
      </c>
      <c r="AO20" s="574" t="str">
        <f t="shared" si="9"/>
        <v/>
      </c>
      <c r="AP20" s="574" t="str">
        <f t="shared" si="9"/>
        <v/>
      </c>
      <c r="AQ20" s="574" t="str">
        <f t="shared" si="9"/>
        <v/>
      </c>
      <c r="AR20" s="574" t="str">
        <f t="shared" si="9"/>
        <v/>
      </c>
      <c r="AS20" s="574" t="str">
        <f t="shared" si="7"/>
        <v/>
      </c>
      <c r="AT20" s="574" t="str">
        <f t="shared" si="7"/>
        <v/>
      </c>
      <c r="AU20" s="574" t="str">
        <f t="shared" si="7"/>
        <v/>
      </c>
      <c r="AV20" s="574" t="str">
        <f t="shared" si="7"/>
        <v/>
      </c>
      <c r="AW20" s="574" t="str">
        <f t="shared" si="7"/>
        <v/>
      </c>
      <c r="AX20" s="574" t="str">
        <f t="shared" si="8"/>
        <v/>
      </c>
      <c r="AY20" s="574" t="str">
        <f t="shared" si="8"/>
        <v/>
      </c>
      <c r="AZ20" s="574" t="str">
        <f t="shared" si="8"/>
        <v/>
      </c>
      <c r="BA20" s="574" t="str">
        <f t="shared" si="8"/>
        <v/>
      </c>
      <c r="BB20" s="574" t="str">
        <f t="shared" si="8"/>
        <v/>
      </c>
      <c r="BC20" s="574" t="str">
        <f t="shared" si="8"/>
        <v/>
      </c>
      <c r="BD20" s="574" t="str">
        <f t="shared" si="8"/>
        <v/>
      </c>
      <c r="BE20" s="574" t="str">
        <f t="shared" si="8"/>
        <v/>
      </c>
      <c r="BF20" s="574" t="str">
        <f t="shared" si="8"/>
        <v/>
      </c>
      <c r="BG20" s="574" t="str">
        <f t="shared" si="8"/>
        <v/>
      </c>
      <c r="BH20" s="574" t="str">
        <f t="shared" si="8"/>
        <v/>
      </c>
      <c r="BI20" s="510">
        <f t="shared" si="1"/>
        <v>14</v>
      </c>
      <c r="BJ20" s="631">
        <f t="shared" si="3"/>
        <v>0</v>
      </c>
      <c r="BK20" s="632" t="str">
        <f t="shared" si="4"/>
        <v>0 to &lt;= 50 ML Clean, Unlined, Arid</v>
      </c>
    </row>
    <row r="21" spans="1:63">
      <c r="A21" s="532"/>
      <c r="B21" s="562">
        <f t="shared" si="5"/>
        <v>13</v>
      </c>
      <c r="C21" s="138"/>
      <c r="D21" s="591"/>
      <c r="E21" s="57" t="str">
        <f>E9</f>
        <v>Contaminated</v>
      </c>
      <c r="F21" s="57" t="s">
        <v>188</v>
      </c>
      <c r="G21" s="57" t="str">
        <f t="shared" si="6"/>
        <v>Pasture</v>
      </c>
      <c r="H21" s="57" t="str">
        <f t="shared" si="10"/>
        <v>Lined</v>
      </c>
      <c r="I21" s="57" t="s">
        <v>1990</v>
      </c>
      <c r="J21" s="67"/>
      <c r="K21" s="55"/>
      <c r="L21" s="494"/>
      <c r="M21" s="574" t="str">
        <f t="shared" si="2"/>
        <v/>
      </c>
      <c r="N21" s="574" t="str">
        <f t="shared" si="2"/>
        <v/>
      </c>
      <c r="O21" s="574" t="str">
        <f t="shared" si="2"/>
        <v/>
      </c>
      <c r="P21" s="574" t="str">
        <f t="shared" si="2"/>
        <v/>
      </c>
      <c r="Q21" s="574" t="str">
        <f t="shared" si="2"/>
        <v/>
      </c>
      <c r="R21" s="574" t="str">
        <f t="shared" si="2"/>
        <v/>
      </c>
      <c r="S21" s="574" t="str">
        <f t="shared" si="2"/>
        <v/>
      </c>
      <c r="T21" s="574" t="str">
        <f t="shared" si="2"/>
        <v/>
      </c>
      <c r="U21" s="574" t="str">
        <f t="shared" si="2"/>
        <v/>
      </c>
      <c r="V21" s="574" t="str">
        <f t="shared" si="2"/>
        <v/>
      </c>
      <c r="W21" s="574" t="str">
        <f t="shared" si="2"/>
        <v/>
      </c>
      <c r="X21" s="574" t="str">
        <f t="shared" si="2"/>
        <v/>
      </c>
      <c r="Y21" s="574">
        <f t="shared" si="2"/>
        <v>0</v>
      </c>
      <c r="Z21" s="574" t="str">
        <f t="shared" si="2"/>
        <v/>
      </c>
      <c r="AA21" s="574" t="str">
        <f t="shared" si="2"/>
        <v/>
      </c>
      <c r="AB21" s="574" t="str">
        <f t="shared" si="2"/>
        <v/>
      </c>
      <c r="AC21" s="574" t="str">
        <f t="shared" si="9"/>
        <v/>
      </c>
      <c r="AD21" s="574" t="str">
        <f t="shared" si="9"/>
        <v/>
      </c>
      <c r="AE21" s="574" t="str">
        <f t="shared" si="9"/>
        <v/>
      </c>
      <c r="AF21" s="574" t="str">
        <f t="shared" si="9"/>
        <v/>
      </c>
      <c r="AG21" s="574" t="str">
        <f t="shared" si="9"/>
        <v/>
      </c>
      <c r="AH21" s="574" t="str">
        <f t="shared" si="9"/>
        <v/>
      </c>
      <c r="AI21" s="574" t="str">
        <f t="shared" si="9"/>
        <v/>
      </c>
      <c r="AJ21" s="574" t="str">
        <f t="shared" si="9"/>
        <v/>
      </c>
      <c r="AK21" s="574" t="str">
        <f t="shared" si="9"/>
        <v/>
      </c>
      <c r="AL21" s="574" t="str">
        <f t="shared" si="9"/>
        <v/>
      </c>
      <c r="AM21" s="574" t="str">
        <f t="shared" si="9"/>
        <v/>
      </c>
      <c r="AN21" s="574" t="str">
        <f t="shared" si="9"/>
        <v/>
      </c>
      <c r="AO21" s="574" t="str">
        <f t="shared" si="9"/>
        <v/>
      </c>
      <c r="AP21" s="574" t="str">
        <f t="shared" si="9"/>
        <v/>
      </c>
      <c r="AQ21" s="574" t="str">
        <f t="shared" si="9"/>
        <v/>
      </c>
      <c r="AR21" s="574" t="str">
        <f t="shared" si="9"/>
        <v/>
      </c>
      <c r="AS21" s="574" t="str">
        <f t="shared" si="7"/>
        <v/>
      </c>
      <c r="AT21" s="574" t="str">
        <f t="shared" si="7"/>
        <v/>
      </c>
      <c r="AU21" s="574" t="str">
        <f t="shared" si="7"/>
        <v/>
      </c>
      <c r="AV21" s="574" t="str">
        <f t="shared" si="7"/>
        <v/>
      </c>
      <c r="AW21" s="574" t="str">
        <f t="shared" si="7"/>
        <v/>
      </c>
      <c r="AX21" s="574" t="str">
        <f t="shared" si="8"/>
        <v/>
      </c>
      <c r="AY21" s="574" t="str">
        <f t="shared" si="8"/>
        <v/>
      </c>
      <c r="AZ21" s="574" t="str">
        <f t="shared" si="8"/>
        <v/>
      </c>
      <c r="BA21" s="574" t="str">
        <f t="shared" si="8"/>
        <v/>
      </c>
      <c r="BB21" s="574" t="str">
        <f t="shared" si="8"/>
        <v/>
      </c>
      <c r="BC21" s="574" t="str">
        <f t="shared" si="8"/>
        <v/>
      </c>
      <c r="BD21" s="574" t="str">
        <f t="shared" si="8"/>
        <v/>
      </c>
      <c r="BE21" s="574" t="str">
        <f t="shared" si="8"/>
        <v/>
      </c>
      <c r="BF21" s="574" t="str">
        <f t="shared" si="8"/>
        <v/>
      </c>
      <c r="BG21" s="574" t="str">
        <f t="shared" si="8"/>
        <v/>
      </c>
      <c r="BH21" s="574" t="str">
        <f t="shared" si="8"/>
        <v/>
      </c>
      <c r="BI21" s="510">
        <f t="shared" si="1"/>
        <v>15</v>
      </c>
      <c r="BJ21" s="631">
        <f t="shared" si="3"/>
        <v>0</v>
      </c>
      <c r="BK21" s="632" t="str">
        <f t="shared" si="4"/>
        <v>&gt;50 ML to &lt;=200 ML Contaminated, Lined, Pasture</v>
      </c>
    </row>
    <row r="22" spans="1:63">
      <c r="A22" s="532"/>
      <c r="B22" s="562">
        <f t="shared" si="5"/>
        <v>14</v>
      </c>
      <c r="C22" s="138"/>
      <c r="D22" s="591"/>
      <c r="E22" s="57" t="str">
        <f t="shared" ref="E22:E70" si="11">E10</f>
        <v>Contaminated</v>
      </c>
      <c r="F22" s="57" t="s">
        <v>188</v>
      </c>
      <c r="G22" s="57" t="str">
        <f t="shared" si="6"/>
        <v>Native</v>
      </c>
      <c r="H22" s="57" t="str">
        <f t="shared" si="10"/>
        <v>Lined</v>
      </c>
      <c r="I22" s="57" t="s">
        <v>1990</v>
      </c>
      <c r="J22" s="67"/>
      <c r="K22" s="55"/>
      <c r="L22" s="494"/>
      <c r="M22" s="574" t="str">
        <f t="shared" si="2"/>
        <v/>
      </c>
      <c r="N22" s="574" t="str">
        <f t="shared" si="2"/>
        <v/>
      </c>
      <c r="O22" s="574" t="str">
        <f t="shared" si="2"/>
        <v/>
      </c>
      <c r="P22" s="574" t="str">
        <f t="shared" si="2"/>
        <v/>
      </c>
      <c r="Q22" s="574" t="str">
        <f t="shared" si="2"/>
        <v/>
      </c>
      <c r="R22" s="574" t="str">
        <f t="shared" si="2"/>
        <v/>
      </c>
      <c r="S22" s="574" t="str">
        <f t="shared" si="2"/>
        <v/>
      </c>
      <c r="T22" s="574" t="str">
        <f t="shared" si="2"/>
        <v/>
      </c>
      <c r="U22" s="574" t="str">
        <f t="shared" si="2"/>
        <v/>
      </c>
      <c r="V22" s="574" t="str">
        <f t="shared" si="2"/>
        <v/>
      </c>
      <c r="W22" s="574" t="str">
        <f t="shared" si="2"/>
        <v/>
      </c>
      <c r="X22" s="574" t="str">
        <f t="shared" si="2"/>
        <v/>
      </c>
      <c r="Y22" s="574" t="str">
        <f t="shared" si="2"/>
        <v/>
      </c>
      <c r="Z22" s="574">
        <f t="shared" si="2"/>
        <v>0</v>
      </c>
      <c r="AA22" s="574" t="str">
        <f t="shared" si="2"/>
        <v/>
      </c>
      <c r="AB22" s="574" t="str">
        <f t="shared" si="2"/>
        <v/>
      </c>
      <c r="AC22" s="574" t="str">
        <f t="shared" si="9"/>
        <v/>
      </c>
      <c r="AD22" s="574" t="str">
        <f t="shared" si="9"/>
        <v/>
      </c>
      <c r="AE22" s="574" t="str">
        <f t="shared" si="9"/>
        <v/>
      </c>
      <c r="AF22" s="574" t="str">
        <f t="shared" si="9"/>
        <v/>
      </c>
      <c r="AG22" s="574" t="str">
        <f t="shared" si="9"/>
        <v/>
      </c>
      <c r="AH22" s="574" t="str">
        <f t="shared" si="9"/>
        <v/>
      </c>
      <c r="AI22" s="574" t="str">
        <f t="shared" si="9"/>
        <v/>
      </c>
      <c r="AJ22" s="574" t="str">
        <f t="shared" si="9"/>
        <v/>
      </c>
      <c r="AK22" s="574" t="str">
        <f t="shared" si="9"/>
        <v/>
      </c>
      <c r="AL22" s="574" t="str">
        <f t="shared" si="9"/>
        <v/>
      </c>
      <c r="AM22" s="574" t="str">
        <f t="shared" si="9"/>
        <v/>
      </c>
      <c r="AN22" s="574" t="str">
        <f t="shared" si="9"/>
        <v/>
      </c>
      <c r="AO22" s="574" t="str">
        <f t="shared" si="9"/>
        <v/>
      </c>
      <c r="AP22" s="574" t="str">
        <f t="shared" si="9"/>
        <v/>
      </c>
      <c r="AQ22" s="574" t="str">
        <f t="shared" si="9"/>
        <v/>
      </c>
      <c r="AR22" s="574" t="str">
        <f t="shared" si="9"/>
        <v/>
      </c>
      <c r="AS22" s="574" t="str">
        <f t="shared" si="7"/>
        <v/>
      </c>
      <c r="AT22" s="574" t="str">
        <f t="shared" si="7"/>
        <v/>
      </c>
      <c r="AU22" s="574" t="str">
        <f t="shared" si="7"/>
        <v/>
      </c>
      <c r="AV22" s="574" t="str">
        <f t="shared" si="7"/>
        <v/>
      </c>
      <c r="AW22" s="574" t="str">
        <f t="shared" si="7"/>
        <v/>
      </c>
      <c r="AX22" s="574" t="str">
        <f t="shared" si="8"/>
        <v/>
      </c>
      <c r="AY22" s="574" t="str">
        <f t="shared" si="8"/>
        <v/>
      </c>
      <c r="AZ22" s="574" t="str">
        <f t="shared" si="8"/>
        <v/>
      </c>
      <c r="BA22" s="574" t="str">
        <f t="shared" si="8"/>
        <v/>
      </c>
      <c r="BB22" s="574" t="str">
        <f t="shared" si="8"/>
        <v/>
      </c>
      <c r="BC22" s="574" t="str">
        <f t="shared" si="8"/>
        <v/>
      </c>
      <c r="BD22" s="574" t="str">
        <f t="shared" si="8"/>
        <v/>
      </c>
      <c r="BE22" s="574" t="str">
        <f t="shared" si="8"/>
        <v/>
      </c>
      <c r="BF22" s="574" t="str">
        <f t="shared" si="8"/>
        <v/>
      </c>
      <c r="BG22" s="574" t="str">
        <f t="shared" si="8"/>
        <v/>
      </c>
      <c r="BH22" s="574" t="str">
        <f t="shared" si="8"/>
        <v/>
      </c>
      <c r="BI22" s="510">
        <f t="shared" si="1"/>
        <v>16</v>
      </c>
      <c r="BJ22" s="631">
        <f t="shared" si="3"/>
        <v>0</v>
      </c>
      <c r="BK22" s="632" t="str">
        <f t="shared" si="4"/>
        <v>&gt;50 ML to &lt;=200 ML Contaminated, Lined, Native</v>
      </c>
    </row>
    <row r="23" spans="1:63">
      <c r="A23" s="532"/>
      <c r="B23" s="562">
        <f t="shared" si="5"/>
        <v>15</v>
      </c>
      <c r="C23" s="138"/>
      <c r="D23" s="591"/>
      <c r="E23" s="57" t="str">
        <f t="shared" si="11"/>
        <v>Contaminated</v>
      </c>
      <c r="F23" s="57" t="s">
        <v>188</v>
      </c>
      <c r="G23" s="57" t="str">
        <f t="shared" si="6"/>
        <v>Arid</v>
      </c>
      <c r="H23" s="57" t="str">
        <f t="shared" si="10"/>
        <v>Lined</v>
      </c>
      <c r="I23" s="57" t="s">
        <v>1990</v>
      </c>
      <c r="J23" s="67"/>
      <c r="K23" s="55"/>
      <c r="L23" s="494"/>
      <c r="M23" s="574" t="str">
        <f t="shared" si="2"/>
        <v/>
      </c>
      <c r="N23" s="574" t="str">
        <f t="shared" si="2"/>
        <v/>
      </c>
      <c r="O23" s="574" t="str">
        <f t="shared" si="2"/>
        <v/>
      </c>
      <c r="P23" s="574" t="str">
        <f t="shared" si="2"/>
        <v/>
      </c>
      <c r="Q23" s="574" t="str">
        <f t="shared" si="2"/>
        <v/>
      </c>
      <c r="R23" s="574" t="str">
        <f t="shared" si="2"/>
        <v/>
      </c>
      <c r="S23" s="574" t="str">
        <f t="shared" si="2"/>
        <v/>
      </c>
      <c r="T23" s="574" t="str">
        <f t="shared" si="2"/>
        <v/>
      </c>
      <c r="U23" s="574" t="str">
        <f t="shared" si="2"/>
        <v/>
      </c>
      <c r="V23" s="574" t="str">
        <f t="shared" si="2"/>
        <v/>
      </c>
      <c r="W23" s="574" t="str">
        <f t="shared" si="2"/>
        <v/>
      </c>
      <c r="X23" s="574" t="str">
        <f t="shared" si="2"/>
        <v/>
      </c>
      <c r="Y23" s="574" t="str">
        <f t="shared" si="2"/>
        <v/>
      </c>
      <c r="Z23" s="574" t="str">
        <f t="shared" si="2"/>
        <v/>
      </c>
      <c r="AA23" s="574">
        <f t="shared" si="2"/>
        <v>0</v>
      </c>
      <c r="AB23" s="574" t="str">
        <f t="shared" si="2"/>
        <v/>
      </c>
      <c r="AC23" s="574" t="str">
        <f t="shared" si="9"/>
        <v/>
      </c>
      <c r="AD23" s="574" t="str">
        <f t="shared" si="9"/>
        <v/>
      </c>
      <c r="AE23" s="574" t="str">
        <f t="shared" si="9"/>
        <v/>
      </c>
      <c r="AF23" s="574" t="str">
        <f t="shared" si="9"/>
        <v/>
      </c>
      <c r="AG23" s="574" t="str">
        <f t="shared" si="9"/>
        <v/>
      </c>
      <c r="AH23" s="574" t="str">
        <f t="shared" si="9"/>
        <v/>
      </c>
      <c r="AI23" s="574" t="str">
        <f t="shared" si="9"/>
        <v/>
      </c>
      <c r="AJ23" s="574" t="str">
        <f t="shared" si="9"/>
        <v/>
      </c>
      <c r="AK23" s="574" t="str">
        <f t="shared" si="9"/>
        <v/>
      </c>
      <c r="AL23" s="574" t="str">
        <f t="shared" si="9"/>
        <v/>
      </c>
      <c r="AM23" s="574" t="str">
        <f t="shared" si="9"/>
        <v/>
      </c>
      <c r="AN23" s="574" t="str">
        <f t="shared" si="9"/>
        <v/>
      </c>
      <c r="AO23" s="574" t="str">
        <f t="shared" si="9"/>
        <v/>
      </c>
      <c r="AP23" s="574" t="str">
        <f t="shared" si="9"/>
        <v/>
      </c>
      <c r="AQ23" s="574" t="str">
        <f t="shared" si="9"/>
        <v/>
      </c>
      <c r="AR23" s="574" t="str">
        <f t="shared" si="9"/>
        <v/>
      </c>
      <c r="AS23" s="574" t="str">
        <f t="shared" si="7"/>
        <v/>
      </c>
      <c r="AT23" s="574" t="str">
        <f t="shared" si="7"/>
        <v/>
      </c>
      <c r="AU23" s="574" t="str">
        <f t="shared" si="7"/>
        <v/>
      </c>
      <c r="AV23" s="574" t="str">
        <f t="shared" si="7"/>
        <v/>
      </c>
      <c r="AW23" s="574" t="str">
        <f t="shared" si="7"/>
        <v/>
      </c>
      <c r="AX23" s="574" t="str">
        <f t="shared" si="8"/>
        <v/>
      </c>
      <c r="AY23" s="574" t="str">
        <f t="shared" si="8"/>
        <v/>
      </c>
      <c r="AZ23" s="574" t="str">
        <f t="shared" si="8"/>
        <v/>
      </c>
      <c r="BA23" s="574" t="str">
        <f t="shared" si="8"/>
        <v/>
      </c>
      <c r="BB23" s="574" t="str">
        <f t="shared" si="8"/>
        <v/>
      </c>
      <c r="BC23" s="574" t="str">
        <f t="shared" si="8"/>
        <v/>
      </c>
      <c r="BD23" s="574" t="str">
        <f t="shared" si="8"/>
        <v/>
      </c>
      <c r="BE23" s="574" t="str">
        <f t="shared" si="8"/>
        <v/>
      </c>
      <c r="BF23" s="574" t="str">
        <f t="shared" si="8"/>
        <v/>
      </c>
      <c r="BG23" s="574" t="str">
        <f t="shared" si="8"/>
        <v/>
      </c>
      <c r="BH23" s="574" t="str">
        <f t="shared" si="8"/>
        <v/>
      </c>
      <c r="BI23" s="510">
        <f t="shared" si="1"/>
        <v>17</v>
      </c>
      <c r="BJ23" s="631">
        <f t="shared" si="3"/>
        <v>0</v>
      </c>
      <c r="BK23" s="632" t="str">
        <f t="shared" si="4"/>
        <v>&gt;50 ML to &lt;=200 ML Contaminated, Lined, Arid</v>
      </c>
    </row>
    <row r="24" spans="1:63">
      <c r="A24" s="532"/>
      <c r="B24" s="562">
        <f t="shared" si="5"/>
        <v>16</v>
      </c>
      <c r="C24" s="138"/>
      <c r="D24" s="591"/>
      <c r="E24" s="57" t="str">
        <f t="shared" si="11"/>
        <v>Contaminated</v>
      </c>
      <c r="F24" s="57" t="s">
        <v>188</v>
      </c>
      <c r="G24" s="57" t="str">
        <f t="shared" si="6"/>
        <v>Pasture</v>
      </c>
      <c r="H24" s="57" t="str">
        <f t="shared" si="10"/>
        <v>Unlined</v>
      </c>
      <c r="I24" s="57" t="s">
        <v>1990</v>
      </c>
      <c r="J24" s="67"/>
      <c r="K24" s="55"/>
      <c r="L24" s="494"/>
      <c r="M24" s="574" t="str">
        <f t="shared" si="2"/>
        <v/>
      </c>
      <c r="N24" s="574" t="str">
        <f t="shared" si="2"/>
        <v/>
      </c>
      <c r="O24" s="574" t="str">
        <f t="shared" si="2"/>
        <v/>
      </c>
      <c r="P24" s="574" t="str">
        <f t="shared" si="2"/>
        <v/>
      </c>
      <c r="Q24" s="574" t="str">
        <f t="shared" si="2"/>
        <v/>
      </c>
      <c r="R24" s="574" t="str">
        <f t="shared" si="2"/>
        <v/>
      </c>
      <c r="S24" s="574" t="str">
        <f t="shared" si="2"/>
        <v/>
      </c>
      <c r="T24" s="574" t="str">
        <f t="shared" si="2"/>
        <v/>
      </c>
      <c r="U24" s="574" t="str">
        <f t="shared" si="2"/>
        <v/>
      </c>
      <c r="V24" s="574" t="str">
        <f t="shared" si="2"/>
        <v/>
      </c>
      <c r="W24" s="574" t="str">
        <f t="shared" si="2"/>
        <v/>
      </c>
      <c r="X24" s="574" t="str">
        <f t="shared" si="2"/>
        <v/>
      </c>
      <c r="Y24" s="574" t="str">
        <f t="shared" si="2"/>
        <v/>
      </c>
      <c r="Z24" s="574" t="str">
        <f t="shared" si="2"/>
        <v/>
      </c>
      <c r="AA24" s="574" t="str">
        <f t="shared" si="2"/>
        <v/>
      </c>
      <c r="AB24" s="574">
        <f t="shared" si="2"/>
        <v>0</v>
      </c>
      <c r="AC24" s="574" t="str">
        <f t="shared" si="9"/>
        <v/>
      </c>
      <c r="AD24" s="574" t="str">
        <f t="shared" si="9"/>
        <v/>
      </c>
      <c r="AE24" s="574" t="str">
        <f t="shared" si="9"/>
        <v/>
      </c>
      <c r="AF24" s="574" t="str">
        <f t="shared" si="9"/>
        <v/>
      </c>
      <c r="AG24" s="574" t="str">
        <f t="shared" si="9"/>
        <v/>
      </c>
      <c r="AH24" s="574" t="str">
        <f t="shared" si="9"/>
        <v/>
      </c>
      <c r="AI24" s="574" t="str">
        <f t="shared" si="9"/>
        <v/>
      </c>
      <c r="AJ24" s="574" t="str">
        <f t="shared" si="9"/>
        <v/>
      </c>
      <c r="AK24" s="574" t="str">
        <f t="shared" si="9"/>
        <v/>
      </c>
      <c r="AL24" s="574" t="str">
        <f t="shared" si="9"/>
        <v/>
      </c>
      <c r="AM24" s="574" t="str">
        <f t="shared" si="9"/>
        <v/>
      </c>
      <c r="AN24" s="574" t="str">
        <f t="shared" si="9"/>
        <v/>
      </c>
      <c r="AO24" s="574" t="str">
        <f t="shared" si="9"/>
        <v/>
      </c>
      <c r="AP24" s="574" t="str">
        <f t="shared" si="9"/>
        <v/>
      </c>
      <c r="AQ24" s="574" t="str">
        <f t="shared" si="9"/>
        <v/>
      </c>
      <c r="AR24" s="574" t="str">
        <f t="shared" si="9"/>
        <v/>
      </c>
      <c r="AS24" s="574" t="str">
        <f t="shared" si="7"/>
        <v/>
      </c>
      <c r="AT24" s="574" t="str">
        <f t="shared" si="7"/>
        <v/>
      </c>
      <c r="AU24" s="574" t="str">
        <f t="shared" si="7"/>
        <v/>
      </c>
      <c r="AV24" s="574" t="str">
        <f t="shared" si="7"/>
        <v/>
      </c>
      <c r="AW24" s="574" t="str">
        <f t="shared" si="7"/>
        <v/>
      </c>
      <c r="AX24" s="574" t="str">
        <f t="shared" si="8"/>
        <v/>
      </c>
      <c r="AY24" s="574" t="str">
        <f t="shared" si="8"/>
        <v/>
      </c>
      <c r="AZ24" s="574" t="str">
        <f t="shared" si="8"/>
        <v/>
      </c>
      <c r="BA24" s="574" t="str">
        <f t="shared" si="8"/>
        <v/>
      </c>
      <c r="BB24" s="574" t="str">
        <f t="shared" si="8"/>
        <v/>
      </c>
      <c r="BC24" s="574" t="str">
        <f t="shared" si="8"/>
        <v/>
      </c>
      <c r="BD24" s="574" t="str">
        <f t="shared" si="8"/>
        <v/>
      </c>
      <c r="BE24" s="574" t="str">
        <f t="shared" si="8"/>
        <v/>
      </c>
      <c r="BF24" s="574" t="str">
        <f t="shared" si="8"/>
        <v/>
      </c>
      <c r="BG24" s="574" t="str">
        <f t="shared" si="8"/>
        <v/>
      </c>
      <c r="BH24" s="574" t="str">
        <f t="shared" si="8"/>
        <v/>
      </c>
      <c r="BI24" s="510">
        <f t="shared" si="1"/>
        <v>18</v>
      </c>
      <c r="BJ24" s="631">
        <f t="shared" si="3"/>
        <v>0</v>
      </c>
      <c r="BK24" s="632" t="str">
        <f t="shared" si="4"/>
        <v>&gt;50 ML to &lt;=200 ML Contaminated, Unlined, Pasture</v>
      </c>
    </row>
    <row r="25" spans="1:63">
      <c r="A25" s="532"/>
      <c r="B25" s="562">
        <f t="shared" si="5"/>
        <v>17</v>
      </c>
      <c r="C25" s="138"/>
      <c r="D25" s="591"/>
      <c r="E25" s="57" t="str">
        <f t="shared" si="11"/>
        <v>Contaminated</v>
      </c>
      <c r="F25" s="57" t="s">
        <v>188</v>
      </c>
      <c r="G25" s="57" t="str">
        <f t="shared" si="6"/>
        <v>Native</v>
      </c>
      <c r="H25" s="57" t="str">
        <f t="shared" si="10"/>
        <v>Unlined</v>
      </c>
      <c r="I25" s="57" t="s">
        <v>1990</v>
      </c>
      <c r="J25" s="67"/>
      <c r="K25" s="55"/>
      <c r="L25" s="494"/>
      <c r="M25" s="574" t="str">
        <f t="shared" si="2"/>
        <v/>
      </c>
      <c r="N25" s="574" t="str">
        <f t="shared" si="2"/>
        <v/>
      </c>
      <c r="O25" s="574" t="str">
        <f t="shared" si="2"/>
        <v/>
      </c>
      <c r="P25" s="574" t="str">
        <f t="shared" si="2"/>
        <v/>
      </c>
      <c r="Q25" s="574" t="str">
        <f t="shared" si="2"/>
        <v/>
      </c>
      <c r="R25" s="574" t="str">
        <f t="shared" si="2"/>
        <v/>
      </c>
      <c r="S25" s="574" t="str">
        <f t="shared" si="2"/>
        <v/>
      </c>
      <c r="T25" s="574" t="str">
        <f t="shared" si="2"/>
        <v/>
      </c>
      <c r="U25" s="574" t="str">
        <f t="shared" si="2"/>
        <v/>
      </c>
      <c r="V25" s="574" t="str">
        <f t="shared" si="2"/>
        <v/>
      </c>
      <c r="W25" s="574" t="str">
        <f t="shared" si="2"/>
        <v/>
      </c>
      <c r="X25" s="574" t="str">
        <f t="shared" si="2"/>
        <v/>
      </c>
      <c r="Y25" s="574" t="str">
        <f t="shared" si="2"/>
        <v/>
      </c>
      <c r="Z25" s="574" t="str">
        <f t="shared" si="2"/>
        <v/>
      </c>
      <c r="AA25" s="574" t="str">
        <f t="shared" si="2"/>
        <v/>
      </c>
      <c r="AB25" s="574" t="str">
        <f t="shared" si="2"/>
        <v/>
      </c>
      <c r="AC25" s="574">
        <f t="shared" si="9"/>
        <v>0</v>
      </c>
      <c r="AD25" s="574" t="str">
        <f t="shared" si="9"/>
        <v/>
      </c>
      <c r="AE25" s="574" t="str">
        <f t="shared" si="9"/>
        <v/>
      </c>
      <c r="AF25" s="574" t="str">
        <f t="shared" si="9"/>
        <v/>
      </c>
      <c r="AG25" s="574" t="str">
        <f t="shared" si="9"/>
        <v/>
      </c>
      <c r="AH25" s="574" t="str">
        <f t="shared" si="9"/>
        <v/>
      </c>
      <c r="AI25" s="574" t="str">
        <f t="shared" si="9"/>
        <v/>
      </c>
      <c r="AJ25" s="574" t="str">
        <f t="shared" si="9"/>
        <v/>
      </c>
      <c r="AK25" s="574" t="str">
        <f t="shared" si="9"/>
        <v/>
      </c>
      <c r="AL25" s="574" t="str">
        <f t="shared" si="9"/>
        <v/>
      </c>
      <c r="AM25" s="574" t="str">
        <f t="shared" si="9"/>
        <v/>
      </c>
      <c r="AN25" s="574" t="str">
        <f t="shared" si="9"/>
        <v/>
      </c>
      <c r="AO25" s="574" t="str">
        <f t="shared" si="9"/>
        <v/>
      </c>
      <c r="AP25" s="574" t="str">
        <f t="shared" si="9"/>
        <v/>
      </c>
      <c r="AQ25" s="574" t="str">
        <f t="shared" si="9"/>
        <v/>
      </c>
      <c r="AR25" s="574" t="str">
        <f t="shared" si="9"/>
        <v/>
      </c>
      <c r="AS25" s="574" t="str">
        <f t="shared" si="7"/>
        <v/>
      </c>
      <c r="AT25" s="574" t="str">
        <f t="shared" si="7"/>
        <v/>
      </c>
      <c r="AU25" s="574" t="str">
        <f t="shared" si="7"/>
        <v/>
      </c>
      <c r="AV25" s="574" t="str">
        <f t="shared" si="7"/>
        <v/>
      </c>
      <c r="AW25" s="574" t="str">
        <f t="shared" si="7"/>
        <v/>
      </c>
      <c r="AX25" s="574" t="str">
        <f t="shared" si="8"/>
        <v/>
      </c>
      <c r="AY25" s="574" t="str">
        <f t="shared" si="8"/>
        <v/>
      </c>
      <c r="AZ25" s="574" t="str">
        <f t="shared" si="8"/>
        <v/>
      </c>
      <c r="BA25" s="574" t="str">
        <f t="shared" si="8"/>
        <v/>
      </c>
      <c r="BB25" s="574" t="str">
        <f t="shared" si="8"/>
        <v/>
      </c>
      <c r="BC25" s="574" t="str">
        <f t="shared" si="8"/>
        <v/>
      </c>
      <c r="BD25" s="574" t="str">
        <f t="shared" si="8"/>
        <v/>
      </c>
      <c r="BE25" s="574" t="str">
        <f t="shared" si="8"/>
        <v/>
      </c>
      <c r="BF25" s="574" t="str">
        <f t="shared" si="8"/>
        <v/>
      </c>
      <c r="BG25" s="574" t="str">
        <f t="shared" si="8"/>
        <v/>
      </c>
      <c r="BH25" s="574" t="str">
        <f t="shared" si="8"/>
        <v/>
      </c>
      <c r="BI25" s="510">
        <f t="shared" si="1"/>
        <v>19</v>
      </c>
      <c r="BJ25" s="631">
        <f t="shared" si="3"/>
        <v>0</v>
      </c>
      <c r="BK25" s="632" t="str">
        <f t="shared" si="4"/>
        <v>&gt;50 ML to &lt;=200 ML Contaminated, Unlined, Native</v>
      </c>
    </row>
    <row r="26" spans="1:63">
      <c r="A26" s="532"/>
      <c r="B26" s="562">
        <f t="shared" si="5"/>
        <v>18</v>
      </c>
      <c r="C26" s="138"/>
      <c r="D26" s="591"/>
      <c r="E26" s="57" t="str">
        <f t="shared" si="11"/>
        <v>Contaminated</v>
      </c>
      <c r="F26" s="57" t="s">
        <v>188</v>
      </c>
      <c r="G26" s="57" t="str">
        <f t="shared" si="6"/>
        <v>Arid</v>
      </c>
      <c r="H26" s="57" t="str">
        <f t="shared" si="10"/>
        <v>Unlined</v>
      </c>
      <c r="I26" s="57" t="s">
        <v>1990</v>
      </c>
      <c r="J26" s="67"/>
      <c r="K26" s="55"/>
      <c r="L26" s="494"/>
      <c r="M26" s="574" t="str">
        <f t="shared" si="2"/>
        <v/>
      </c>
      <c r="N26" s="574" t="str">
        <f t="shared" si="2"/>
        <v/>
      </c>
      <c r="O26" s="574" t="str">
        <f t="shared" si="2"/>
        <v/>
      </c>
      <c r="P26" s="574" t="str">
        <f t="shared" si="2"/>
        <v/>
      </c>
      <c r="Q26" s="574" t="str">
        <f t="shared" si="2"/>
        <v/>
      </c>
      <c r="R26" s="574" t="str">
        <f t="shared" si="2"/>
        <v/>
      </c>
      <c r="S26" s="574" t="str">
        <f t="shared" si="2"/>
        <v/>
      </c>
      <c r="T26" s="574" t="str">
        <f t="shared" si="2"/>
        <v/>
      </c>
      <c r="U26" s="574" t="str">
        <f t="shared" si="2"/>
        <v/>
      </c>
      <c r="V26" s="574" t="str">
        <f t="shared" si="2"/>
        <v/>
      </c>
      <c r="W26" s="574" t="str">
        <f t="shared" si="2"/>
        <v/>
      </c>
      <c r="X26" s="574" t="str">
        <f t="shared" si="2"/>
        <v/>
      </c>
      <c r="Y26" s="574" t="str">
        <f t="shared" si="2"/>
        <v/>
      </c>
      <c r="Z26" s="574" t="str">
        <f t="shared" si="2"/>
        <v/>
      </c>
      <c r="AA26" s="574" t="str">
        <f t="shared" si="2"/>
        <v/>
      </c>
      <c r="AB26" s="574" t="str">
        <f t="shared" si="2"/>
        <v/>
      </c>
      <c r="AC26" s="574" t="str">
        <f t="shared" si="9"/>
        <v/>
      </c>
      <c r="AD26" s="574">
        <f t="shared" si="9"/>
        <v>0</v>
      </c>
      <c r="AE26" s="574" t="str">
        <f t="shared" si="9"/>
        <v/>
      </c>
      <c r="AF26" s="574" t="str">
        <f t="shared" si="9"/>
        <v/>
      </c>
      <c r="AG26" s="574" t="str">
        <f t="shared" si="9"/>
        <v/>
      </c>
      <c r="AH26" s="574" t="str">
        <f t="shared" si="9"/>
        <v/>
      </c>
      <c r="AI26" s="574" t="str">
        <f t="shared" si="9"/>
        <v/>
      </c>
      <c r="AJ26" s="574" t="str">
        <f t="shared" si="9"/>
        <v/>
      </c>
      <c r="AK26" s="574" t="str">
        <f t="shared" si="9"/>
        <v/>
      </c>
      <c r="AL26" s="574" t="str">
        <f t="shared" si="9"/>
        <v/>
      </c>
      <c r="AM26" s="574" t="str">
        <f t="shared" si="9"/>
        <v/>
      </c>
      <c r="AN26" s="574" t="str">
        <f t="shared" si="9"/>
        <v/>
      </c>
      <c r="AO26" s="574" t="str">
        <f t="shared" si="9"/>
        <v/>
      </c>
      <c r="AP26" s="574" t="str">
        <f t="shared" si="9"/>
        <v/>
      </c>
      <c r="AQ26" s="574" t="str">
        <f t="shared" si="9"/>
        <v/>
      </c>
      <c r="AR26" s="574" t="str">
        <f t="shared" si="9"/>
        <v/>
      </c>
      <c r="AS26" s="574" t="str">
        <f t="shared" si="7"/>
        <v/>
      </c>
      <c r="AT26" s="574" t="str">
        <f t="shared" si="7"/>
        <v/>
      </c>
      <c r="AU26" s="574" t="str">
        <f t="shared" si="7"/>
        <v/>
      </c>
      <c r="AV26" s="574" t="str">
        <f t="shared" si="7"/>
        <v/>
      </c>
      <c r="AW26" s="574" t="str">
        <f t="shared" si="7"/>
        <v/>
      </c>
      <c r="AX26" s="574" t="str">
        <f t="shared" si="8"/>
        <v/>
      </c>
      <c r="AY26" s="574" t="str">
        <f t="shared" si="8"/>
        <v/>
      </c>
      <c r="AZ26" s="574" t="str">
        <f t="shared" si="8"/>
        <v/>
      </c>
      <c r="BA26" s="574" t="str">
        <f t="shared" si="8"/>
        <v/>
      </c>
      <c r="BB26" s="574" t="str">
        <f t="shared" si="8"/>
        <v/>
      </c>
      <c r="BC26" s="574" t="str">
        <f t="shared" si="8"/>
        <v/>
      </c>
      <c r="BD26" s="574" t="str">
        <f t="shared" si="8"/>
        <v/>
      </c>
      <c r="BE26" s="574" t="str">
        <f t="shared" si="8"/>
        <v/>
      </c>
      <c r="BF26" s="574" t="str">
        <f t="shared" si="8"/>
        <v/>
      </c>
      <c r="BG26" s="574" t="str">
        <f t="shared" si="8"/>
        <v/>
      </c>
      <c r="BH26" s="574" t="str">
        <f t="shared" si="8"/>
        <v/>
      </c>
      <c r="BI26" s="510">
        <f t="shared" si="1"/>
        <v>20</v>
      </c>
      <c r="BJ26" s="631">
        <f t="shared" si="3"/>
        <v>0</v>
      </c>
      <c r="BK26" s="632" t="str">
        <f t="shared" si="4"/>
        <v>&gt;50 ML to &lt;=200 ML Contaminated, Unlined, Arid</v>
      </c>
    </row>
    <row r="27" spans="1:63">
      <c r="A27" s="532"/>
      <c r="B27" s="562">
        <f t="shared" si="5"/>
        <v>19</v>
      </c>
      <c r="C27" s="138"/>
      <c r="D27" s="591"/>
      <c r="E27" s="57" t="str">
        <f t="shared" si="11"/>
        <v>Clean</v>
      </c>
      <c r="F27" s="57" t="s">
        <v>188</v>
      </c>
      <c r="G27" s="57" t="str">
        <f t="shared" si="6"/>
        <v>Pasture</v>
      </c>
      <c r="H27" s="57" t="str">
        <f t="shared" si="10"/>
        <v>Lined</v>
      </c>
      <c r="I27" s="57" t="s">
        <v>1990</v>
      </c>
      <c r="J27" s="67"/>
      <c r="K27" s="55"/>
      <c r="L27" s="494"/>
      <c r="M27" s="574" t="str">
        <f t="shared" si="2"/>
        <v/>
      </c>
      <c r="N27" s="574" t="str">
        <f t="shared" si="2"/>
        <v/>
      </c>
      <c r="O27" s="574" t="str">
        <f t="shared" si="2"/>
        <v/>
      </c>
      <c r="P27" s="574" t="str">
        <f t="shared" si="2"/>
        <v/>
      </c>
      <c r="Q27" s="574" t="str">
        <f t="shared" si="2"/>
        <v/>
      </c>
      <c r="R27" s="574" t="str">
        <f t="shared" si="2"/>
        <v/>
      </c>
      <c r="S27" s="574" t="str">
        <f t="shared" si="2"/>
        <v/>
      </c>
      <c r="T27" s="574" t="str">
        <f t="shared" si="2"/>
        <v/>
      </c>
      <c r="U27" s="574" t="str">
        <f t="shared" si="2"/>
        <v/>
      </c>
      <c r="V27" s="574" t="str">
        <f t="shared" si="2"/>
        <v/>
      </c>
      <c r="W27" s="574" t="str">
        <f t="shared" si="2"/>
        <v/>
      </c>
      <c r="X27" s="574" t="str">
        <f t="shared" si="2"/>
        <v/>
      </c>
      <c r="Y27" s="574" t="str">
        <f t="shared" si="2"/>
        <v/>
      </c>
      <c r="Z27" s="574" t="str">
        <f t="shared" si="2"/>
        <v/>
      </c>
      <c r="AA27" s="574" t="str">
        <f t="shared" si="2"/>
        <v/>
      </c>
      <c r="AB27" s="574" t="str">
        <f t="shared" si="2"/>
        <v/>
      </c>
      <c r="AC27" s="574" t="str">
        <f t="shared" si="9"/>
        <v/>
      </c>
      <c r="AD27" s="574" t="str">
        <f t="shared" si="9"/>
        <v/>
      </c>
      <c r="AE27" s="574">
        <f t="shared" si="9"/>
        <v>0</v>
      </c>
      <c r="AF27" s="574" t="str">
        <f t="shared" si="9"/>
        <v/>
      </c>
      <c r="AG27" s="574" t="str">
        <f t="shared" si="9"/>
        <v/>
      </c>
      <c r="AH27" s="574" t="str">
        <f t="shared" si="9"/>
        <v/>
      </c>
      <c r="AI27" s="574" t="str">
        <f t="shared" si="9"/>
        <v/>
      </c>
      <c r="AJ27" s="574" t="str">
        <f t="shared" si="9"/>
        <v/>
      </c>
      <c r="AK27" s="574" t="str">
        <f t="shared" si="9"/>
        <v/>
      </c>
      <c r="AL27" s="574" t="str">
        <f t="shared" si="9"/>
        <v/>
      </c>
      <c r="AM27" s="574" t="str">
        <f t="shared" si="9"/>
        <v/>
      </c>
      <c r="AN27" s="574" t="str">
        <f t="shared" si="9"/>
        <v/>
      </c>
      <c r="AO27" s="574" t="str">
        <f t="shared" si="9"/>
        <v/>
      </c>
      <c r="AP27" s="574" t="str">
        <f t="shared" si="9"/>
        <v/>
      </c>
      <c r="AQ27" s="574" t="str">
        <f t="shared" si="9"/>
        <v/>
      </c>
      <c r="AR27" s="574" t="str">
        <f t="shared" si="9"/>
        <v/>
      </c>
      <c r="AS27" s="574" t="str">
        <f t="shared" si="7"/>
        <v/>
      </c>
      <c r="AT27" s="574" t="str">
        <f t="shared" si="7"/>
        <v/>
      </c>
      <c r="AU27" s="574" t="str">
        <f t="shared" si="7"/>
        <v/>
      </c>
      <c r="AV27" s="574" t="str">
        <f t="shared" si="7"/>
        <v/>
      </c>
      <c r="AW27" s="574" t="str">
        <f t="shared" si="7"/>
        <v/>
      </c>
      <c r="AX27" s="574" t="str">
        <f t="shared" si="8"/>
        <v/>
      </c>
      <c r="AY27" s="574" t="str">
        <f t="shared" si="8"/>
        <v/>
      </c>
      <c r="AZ27" s="574" t="str">
        <f t="shared" si="8"/>
        <v/>
      </c>
      <c r="BA27" s="574" t="str">
        <f t="shared" si="8"/>
        <v/>
      </c>
      <c r="BB27" s="574" t="str">
        <f t="shared" si="8"/>
        <v/>
      </c>
      <c r="BC27" s="574" t="str">
        <f t="shared" si="8"/>
        <v/>
      </c>
      <c r="BD27" s="574" t="str">
        <f t="shared" si="8"/>
        <v/>
      </c>
      <c r="BE27" s="574" t="str">
        <f t="shared" si="8"/>
        <v/>
      </c>
      <c r="BF27" s="574" t="str">
        <f t="shared" si="8"/>
        <v/>
      </c>
      <c r="BG27" s="574" t="str">
        <f t="shared" si="8"/>
        <v/>
      </c>
      <c r="BH27" s="574" t="str">
        <f t="shared" si="8"/>
        <v/>
      </c>
      <c r="BI27" s="510">
        <f t="shared" si="1"/>
        <v>21</v>
      </c>
      <c r="BJ27" s="631">
        <f t="shared" si="3"/>
        <v>0</v>
      </c>
      <c r="BK27" s="632" t="str">
        <f t="shared" si="4"/>
        <v>&gt;50 ML to &lt;=200 ML Clean, Lined, Pasture</v>
      </c>
    </row>
    <row r="28" spans="1:63">
      <c r="A28" s="532"/>
      <c r="B28" s="562">
        <f t="shared" si="5"/>
        <v>20</v>
      </c>
      <c r="C28" s="138"/>
      <c r="D28" s="591"/>
      <c r="E28" s="57" t="str">
        <f t="shared" si="11"/>
        <v>Clean</v>
      </c>
      <c r="F28" s="57" t="s">
        <v>188</v>
      </c>
      <c r="G28" s="57" t="str">
        <f t="shared" si="6"/>
        <v>Native</v>
      </c>
      <c r="H28" s="57" t="str">
        <f t="shared" si="10"/>
        <v>Lined</v>
      </c>
      <c r="I28" s="57" t="s">
        <v>1990</v>
      </c>
      <c r="J28" s="67"/>
      <c r="K28" s="55"/>
      <c r="L28" s="494"/>
      <c r="M28" s="574" t="str">
        <f t="shared" si="2"/>
        <v/>
      </c>
      <c r="N28" s="574" t="str">
        <f t="shared" si="2"/>
        <v/>
      </c>
      <c r="O28" s="574" t="str">
        <f t="shared" si="2"/>
        <v/>
      </c>
      <c r="P28" s="574" t="str">
        <f t="shared" si="2"/>
        <v/>
      </c>
      <c r="Q28" s="574" t="str">
        <f t="shared" si="2"/>
        <v/>
      </c>
      <c r="R28" s="574" t="str">
        <f t="shared" si="2"/>
        <v/>
      </c>
      <c r="S28" s="574" t="str">
        <f t="shared" si="2"/>
        <v/>
      </c>
      <c r="T28" s="574" t="str">
        <f t="shared" si="2"/>
        <v/>
      </c>
      <c r="U28" s="574" t="str">
        <f t="shared" si="2"/>
        <v/>
      </c>
      <c r="V28" s="574" t="str">
        <f t="shared" si="2"/>
        <v/>
      </c>
      <c r="W28" s="574" t="str">
        <f t="shared" si="2"/>
        <v/>
      </c>
      <c r="X28" s="574" t="str">
        <f t="shared" si="2"/>
        <v/>
      </c>
      <c r="Y28" s="574" t="str">
        <f t="shared" si="2"/>
        <v/>
      </c>
      <c r="Z28" s="574" t="str">
        <f t="shared" si="2"/>
        <v/>
      </c>
      <c r="AA28" s="574" t="str">
        <f t="shared" si="2"/>
        <v/>
      </c>
      <c r="AB28" s="574" t="str">
        <f t="shared" si="2"/>
        <v/>
      </c>
      <c r="AC28" s="574" t="str">
        <f t="shared" si="9"/>
        <v/>
      </c>
      <c r="AD28" s="574" t="str">
        <f t="shared" si="9"/>
        <v/>
      </c>
      <c r="AE28" s="574" t="str">
        <f t="shared" si="9"/>
        <v/>
      </c>
      <c r="AF28" s="574">
        <f t="shared" si="9"/>
        <v>0</v>
      </c>
      <c r="AG28" s="574" t="str">
        <f t="shared" si="9"/>
        <v/>
      </c>
      <c r="AH28" s="574" t="str">
        <f t="shared" si="9"/>
        <v/>
      </c>
      <c r="AI28" s="574" t="str">
        <f t="shared" si="9"/>
        <v/>
      </c>
      <c r="AJ28" s="574" t="str">
        <f t="shared" si="9"/>
        <v/>
      </c>
      <c r="AK28" s="574" t="str">
        <f t="shared" si="9"/>
        <v/>
      </c>
      <c r="AL28" s="574" t="str">
        <f t="shared" si="9"/>
        <v/>
      </c>
      <c r="AM28" s="574" t="str">
        <f t="shared" si="9"/>
        <v/>
      </c>
      <c r="AN28" s="574" t="str">
        <f t="shared" si="9"/>
        <v/>
      </c>
      <c r="AO28" s="574" t="str">
        <f t="shared" si="9"/>
        <v/>
      </c>
      <c r="AP28" s="574" t="str">
        <f t="shared" si="9"/>
        <v/>
      </c>
      <c r="AQ28" s="574" t="str">
        <f t="shared" si="9"/>
        <v/>
      </c>
      <c r="AR28" s="574" t="str">
        <f t="shared" si="9"/>
        <v/>
      </c>
      <c r="AS28" s="574" t="str">
        <f t="shared" si="7"/>
        <v/>
      </c>
      <c r="AT28" s="574" t="str">
        <f t="shared" si="7"/>
        <v/>
      </c>
      <c r="AU28" s="574" t="str">
        <f t="shared" si="7"/>
        <v/>
      </c>
      <c r="AV28" s="574" t="str">
        <f t="shared" si="7"/>
        <v/>
      </c>
      <c r="AW28" s="574" t="str">
        <f t="shared" si="7"/>
        <v/>
      </c>
      <c r="AX28" s="574" t="str">
        <f t="shared" si="8"/>
        <v/>
      </c>
      <c r="AY28" s="574" t="str">
        <f t="shared" si="8"/>
        <v/>
      </c>
      <c r="AZ28" s="574" t="str">
        <f t="shared" si="8"/>
        <v/>
      </c>
      <c r="BA28" s="574" t="str">
        <f t="shared" si="8"/>
        <v/>
      </c>
      <c r="BB28" s="574" t="str">
        <f t="shared" si="8"/>
        <v/>
      </c>
      <c r="BC28" s="574" t="str">
        <f t="shared" si="8"/>
        <v/>
      </c>
      <c r="BD28" s="574" t="str">
        <f t="shared" si="8"/>
        <v/>
      </c>
      <c r="BE28" s="574" t="str">
        <f t="shared" si="8"/>
        <v/>
      </c>
      <c r="BF28" s="574" t="str">
        <f t="shared" si="8"/>
        <v/>
      </c>
      <c r="BG28" s="574" t="str">
        <f t="shared" si="8"/>
        <v/>
      </c>
      <c r="BH28" s="574" t="str">
        <f t="shared" si="8"/>
        <v/>
      </c>
      <c r="BI28" s="510">
        <f t="shared" si="1"/>
        <v>22</v>
      </c>
      <c r="BJ28" s="631">
        <f t="shared" si="3"/>
        <v>0</v>
      </c>
      <c r="BK28" s="632" t="str">
        <f t="shared" si="4"/>
        <v>&gt;50 ML to &lt;=200 ML Clean, Lined, Native</v>
      </c>
    </row>
    <row r="29" spans="1:63">
      <c r="A29" s="532"/>
      <c r="B29" s="562">
        <f t="shared" si="5"/>
        <v>21</v>
      </c>
      <c r="C29" s="138"/>
      <c r="D29" s="591"/>
      <c r="E29" s="57" t="str">
        <f t="shared" si="11"/>
        <v>Clean</v>
      </c>
      <c r="F29" s="57" t="s">
        <v>188</v>
      </c>
      <c r="G29" s="57" t="str">
        <f t="shared" si="6"/>
        <v>Arid</v>
      </c>
      <c r="H29" s="57" t="str">
        <f t="shared" si="10"/>
        <v>Lined</v>
      </c>
      <c r="I29" s="57" t="s">
        <v>1990</v>
      </c>
      <c r="J29" s="67"/>
      <c r="K29" s="55"/>
      <c r="L29" s="494"/>
      <c r="M29" s="574" t="str">
        <f t="shared" si="2"/>
        <v/>
      </c>
      <c r="N29" s="574" t="str">
        <f t="shared" si="2"/>
        <v/>
      </c>
      <c r="O29" s="574" t="str">
        <f t="shared" si="2"/>
        <v/>
      </c>
      <c r="P29" s="574" t="str">
        <f t="shared" si="2"/>
        <v/>
      </c>
      <c r="Q29" s="574" t="str">
        <f t="shared" si="2"/>
        <v/>
      </c>
      <c r="R29" s="574" t="str">
        <f t="shared" si="2"/>
        <v/>
      </c>
      <c r="S29" s="574" t="str">
        <f t="shared" si="2"/>
        <v/>
      </c>
      <c r="T29" s="574" t="str">
        <f t="shared" si="2"/>
        <v/>
      </c>
      <c r="U29" s="574" t="str">
        <f t="shared" si="2"/>
        <v/>
      </c>
      <c r="V29" s="574" t="str">
        <f t="shared" si="2"/>
        <v/>
      </c>
      <c r="W29" s="574" t="str">
        <f t="shared" si="2"/>
        <v/>
      </c>
      <c r="X29" s="574" t="str">
        <f t="shared" si="2"/>
        <v/>
      </c>
      <c r="Y29" s="574" t="str">
        <f t="shared" si="2"/>
        <v/>
      </c>
      <c r="Z29" s="574" t="str">
        <f t="shared" si="2"/>
        <v/>
      </c>
      <c r="AA29" s="574" t="str">
        <f t="shared" si="2"/>
        <v/>
      </c>
      <c r="AB29" s="574" t="str">
        <f t="shared" si="2"/>
        <v/>
      </c>
      <c r="AC29" s="574" t="str">
        <f t="shared" si="9"/>
        <v/>
      </c>
      <c r="AD29" s="574" t="str">
        <f t="shared" si="9"/>
        <v/>
      </c>
      <c r="AE29" s="574" t="str">
        <f t="shared" si="9"/>
        <v/>
      </c>
      <c r="AF29" s="574" t="str">
        <f t="shared" si="9"/>
        <v/>
      </c>
      <c r="AG29" s="574">
        <f t="shared" si="9"/>
        <v>0</v>
      </c>
      <c r="AH29" s="574" t="str">
        <f t="shared" si="9"/>
        <v/>
      </c>
      <c r="AI29" s="574" t="str">
        <f t="shared" si="9"/>
        <v/>
      </c>
      <c r="AJ29" s="574" t="str">
        <f t="shared" si="9"/>
        <v/>
      </c>
      <c r="AK29" s="574" t="str">
        <f t="shared" si="9"/>
        <v/>
      </c>
      <c r="AL29" s="574" t="str">
        <f t="shared" si="9"/>
        <v/>
      </c>
      <c r="AM29" s="574" t="str">
        <f t="shared" si="9"/>
        <v/>
      </c>
      <c r="AN29" s="574" t="str">
        <f t="shared" si="9"/>
        <v/>
      </c>
      <c r="AO29" s="574" t="str">
        <f t="shared" si="9"/>
        <v/>
      </c>
      <c r="AP29" s="574" t="str">
        <f t="shared" si="9"/>
        <v/>
      </c>
      <c r="AQ29" s="574" t="str">
        <f t="shared" si="9"/>
        <v/>
      </c>
      <c r="AR29" s="574" t="str">
        <f t="shared" si="9"/>
        <v/>
      </c>
      <c r="AS29" s="574" t="str">
        <f t="shared" si="7"/>
        <v/>
      </c>
      <c r="AT29" s="574" t="str">
        <f t="shared" si="7"/>
        <v/>
      </c>
      <c r="AU29" s="574" t="str">
        <f t="shared" si="7"/>
        <v/>
      </c>
      <c r="AV29" s="574" t="str">
        <f t="shared" si="7"/>
        <v/>
      </c>
      <c r="AW29" s="574" t="str">
        <f t="shared" si="7"/>
        <v/>
      </c>
      <c r="AX29" s="574" t="str">
        <f t="shared" si="8"/>
        <v/>
      </c>
      <c r="AY29" s="574" t="str">
        <f t="shared" si="8"/>
        <v/>
      </c>
      <c r="AZ29" s="574" t="str">
        <f t="shared" si="8"/>
        <v/>
      </c>
      <c r="BA29" s="574" t="str">
        <f t="shared" si="8"/>
        <v/>
      </c>
      <c r="BB29" s="574" t="str">
        <f t="shared" si="8"/>
        <v/>
      </c>
      <c r="BC29" s="574" t="str">
        <f t="shared" si="8"/>
        <v/>
      </c>
      <c r="BD29" s="574" t="str">
        <f t="shared" si="8"/>
        <v/>
      </c>
      <c r="BE29" s="574" t="str">
        <f t="shared" si="8"/>
        <v/>
      </c>
      <c r="BF29" s="574" t="str">
        <f t="shared" si="8"/>
        <v/>
      </c>
      <c r="BG29" s="574" t="str">
        <f t="shared" si="8"/>
        <v/>
      </c>
      <c r="BH29" s="574" t="str">
        <f t="shared" si="8"/>
        <v/>
      </c>
      <c r="BI29" s="510">
        <f t="shared" si="1"/>
        <v>23</v>
      </c>
      <c r="BJ29" s="631">
        <f t="shared" si="3"/>
        <v>0</v>
      </c>
      <c r="BK29" s="632" t="str">
        <f t="shared" si="4"/>
        <v>&gt;50 ML to &lt;=200 ML Clean, Lined, Arid</v>
      </c>
    </row>
    <row r="30" spans="1:63">
      <c r="A30" s="532"/>
      <c r="B30" s="562">
        <f t="shared" si="5"/>
        <v>22</v>
      </c>
      <c r="C30" s="138"/>
      <c r="D30" s="591"/>
      <c r="E30" s="57" t="str">
        <f t="shared" si="11"/>
        <v>Clean</v>
      </c>
      <c r="F30" s="57" t="s">
        <v>188</v>
      </c>
      <c r="G30" s="57" t="str">
        <f t="shared" si="6"/>
        <v>Pasture</v>
      </c>
      <c r="H30" s="57" t="str">
        <f t="shared" si="10"/>
        <v>Unlined</v>
      </c>
      <c r="I30" s="57" t="s">
        <v>1990</v>
      </c>
      <c r="J30" s="67"/>
      <c r="K30" s="55"/>
      <c r="L30" s="494"/>
      <c r="M30" s="574" t="str">
        <f t="shared" si="2"/>
        <v/>
      </c>
      <c r="N30" s="574" t="str">
        <f t="shared" si="2"/>
        <v/>
      </c>
      <c r="O30" s="574" t="str">
        <f t="shared" si="2"/>
        <v/>
      </c>
      <c r="P30" s="574" t="str">
        <f t="shared" si="2"/>
        <v/>
      </c>
      <c r="Q30" s="574" t="str">
        <f t="shared" si="2"/>
        <v/>
      </c>
      <c r="R30" s="574" t="str">
        <f t="shared" si="2"/>
        <v/>
      </c>
      <c r="S30" s="574" t="str">
        <f t="shared" si="2"/>
        <v/>
      </c>
      <c r="T30" s="574" t="str">
        <f t="shared" si="2"/>
        <v/>
      </c>
      <c r="U30" s="574" t="str">
        <f t="shared" si="2"/>
        <v/>
      </c>
      <c r="V30" s="574" t="str">
        <f t="shared" si="2"/>
        <v/>
      </c>
      <c r="W30" s="574" t="str">
        <f t="shared" ref="W30:AL45" si="12">IF($BK30=W$7,$K30,"")</f>
        <v/>
      </c>
      <c r="X30" s="574" t="str">
        <f t="shared" si="12"/>
        <v/>
      </c>
      <c r="Y30" s="574" t="str">
        <f t="shared" si="12"/>
        <v/>
      </c>
      <c r="Z30" s="574" t="str">
        <f t="shared" si="12"/>
        <v/>
      </c>
      <c r="AA30" s="574" t="str">
        <f t="shared" si="12"/>
        <v/>
      </c>
      <c r="AB30" s="574" t="str">
        <f t="shared" si="12"/>
        <v/>
      </c>
      <c r="AC30" s="574" t="str">
        <f t="shared" si="12"/>
        <v/>
      </c>
      <c r="AD30" s="574" t="str">
        <f t="shared" si="12"/>
        <v/>
      </c>
      <c r="AE30" s="574" t="str">
        <f t="shared" si="12"/>
        <v/>
      </c>
      <c r="AF30" s="574" t="str">
        <f t="shared" si="12"/>
        <v/>
      </c>
      <c r="AG30" s="574" t="str">
        <f t="shared" si="12"/>
        <v/>
      </c>
      <c r="AH30" s="574">
        <f t="shared" si="12"/>
        <v>0</v>
      </c>
      <c r="AI30" s="574" t="str">
        <f t="shared" si="12"/>
        <v/>
      </c>
      <c r="AJ30" s="574" t="str">
        <f t="shared" si="12"/>
        <v/>
      </c>
      <c r="AK30" s="574" t="str">
        <f t="shared" si="12"/>
        <v/>
      </c>
      <c r="AL30" s="574" t="str">
        <f t="shared" si="12"/>
        <v/>
      </c>
      <c r="AM30" s="574" t="str">
        <f t="shared" si="9"/>
        <v/>
      </c>
      <c r="AN30" s="574" t="str">
        <f t="shared" si="9"/>
        <v/>
      </c>
      <c r="AO30" s="574" t="str">
        <f t="shared" si="9"/>
        <v/>
      </c>
      <c r="AP30" s="574" t="str">
        <f t="shared" si="9"/>
        <v/>
      </c>
      <c r="AQ30" s="574" t="str">
        <f t="shared" si="9"/>
        <v/>
      </c>
      <c r="AR30" s="574" t="str">
        <f t="shared" si="9"/>
        <v/>
      </c>
      <c r="AS30" s="574" t="str">
        <f t="shared" si="7"/>
        <v/>
      </c>
      <c r="AT30" s="574" t="str">
        <f t="shared" si="7"/>
        <v/>
      </c>
      <c r="AU30" s="574" t="str">
        <f t="shared" si="7"/>
        <v/>
      </c>
      <c r="AV30" s="574" t="str">
        <f t="shared" si="7"/>
        <v/>
      </c>
      <c r="AW30" s="574" t="str">
        <f t="shared" si="7"/>
        <v/>
      </c>
      <c r="AX30" s="574" t="str">
        <f t="shared" si="8"/>
        <v/>
      </c>
      <c r="AY30" s="574" t="str">
        <f t="shared" si="8"/>
        <v/>
      </c>
      <c r="AZ30" s="574" t="str">
        <f t="shared" si="8"/>
        <v/>
      </c>
      <c r="BA30" s="574" t="str">
        <f t="shared" si="8"/>
        <v/>
      </c>
      <c r="BB30" s="574" t="str">
        <f t="shared" si="8"/>
        <v/>
      </c>
      <c r="BC30" s="574" t="str">
        <f t="shared" si="8"/>
        <v/>
      </c>
      <c r="BD30" s="574" t="str">
        <f t="shared" si="8"/>
        <v/>
      </c>
      <c r="BE30" s="574" t="str">
        <f t="shared" si="8"/>
        <v/>
      </c>
      <c r="BF30" s="574" t="str">
        <f t="shared" si="8"/>
        <v/>
      </c>
      <c r="BG30" s="574" t="str">
        <f t="shared" si="8"/>
        <v/>
      </c>
      <c r="BH30" s="574" t="str">
        <f t="shared" si="8"/>
        <v/>
      </c>
      <c r="BI30" s="510">
        <f t="shared" si="1"/>
        <v>24</v>
      </c>
      <c r="BJ30" s="631">
        <f t="shared" si="3"/>
        <v>0</v>
      </c>
      <c r="BK30" s="632" t="str">
        <f t="shared" si="4"/>
        <v>&gt;50 ML to &lt;=200 ML Clean, Unlined, Pasture</v>
      </c>
    </row>
    <row r="31" spans="1:63">
      <c r="A31" s="532"/>
      <c r="B31" s="562">
        <f t="shared" si="5"/>
        <v>23</v>
      </c>
      <c r="C31" s="138"/>
      <c r="D31" s="591"/>
      <c r="E31" s="57" t="str">
        <f t="shared" si="11"/>
        <v>Clean</v>
      </c>
      <c r="F31" s="57" t="s">
        <v>188</v>
      </c>
      <c r="G31" s="57" t="str">
        <f t="shared" si="6"/>
        <v>Native</v>
      </c>
      <c r="H31" s="57" t="str">
        <f t="shared" si="10"/>
        <v>Unlined</v>
      </c>
      <c r="I31" s="57" t="s">
        <v>1990</v>
      </c>
      <c r="J31" s="67"/>
      <c r="K31" s="55"/>
      <c r="L31" s="494"/>
      <c r="M31" s="574" t="str">
        <f t="shared" ref="M31:AB46" si="13">IF($BK31=M$7,$K31,"")</f>
        <v/>
      </c>
      <c r="N31" s="574" t="str">
        <f t="shared" si="13"/>
        <v/>
      </c>
      <c r="O31" s="574" t="str">
        <f t="shared" si="13"/>
        <v/>
      </c>
      <c r="P31" s="574" t="str">
        <f t="shared" si="13"/>
        <v/>
      </c>
      <c r="Q31" s="574" t="str">
        <f t="shared" si="13"/>
        <v/>
      </c>
      <c r="R31" s="574" t="str">
        <f t="shared" si="13"/>
        <v/>
      </c>
      <c r="S31" s="574" t="str">
        <f t="shared" si="13"/>
        <v/>
      </c>
      <c r="T31" s="574" t="str">
        <f t="shared" si="13"/>
        <v/>
      </c>
      <c r="U31" s="574" t="str">
        <f t="shared" si="13"/>
        <v/>
      </c>
      <c r="V31" s="574" t="str">
        <f t="shared" si="13"/>
        <v/>
      </c>
      <c r="W31" s="574" t="str">
        <f t="shared" si="13"/>
        <v/>
      </c>
      <c r="X31" s="574" t="str">
        <f t="shared" si="13"/>
        <v/>
      </c>
      <c r="Y31" s="574" t="str">
        <f t="shared" si="13"/>
        <v/>
      </c>
      <c r="Z31" s="574" t="str">
        <f t="shared" si="13"/>
        <v/>
      </c>
      <c r="AA31" s="574" t="str">
        <f t="shared" si="13"/>
        <v/>
      </c>
      <c r="AB31" s="574" t="str">
        <f t="shared" si="13"/>
        <v/>
      </c>
      <c r="AC31" s="574" t="str">
        <f t="shared" si="12"/>
        <v/>
      </c>
      <c r="AD31" s="574" t="str">
        <f t="shared" si="12"/>
        <v/>
      </c>
      <c r="AE31" s="574" t="str">
        <f t="shared" si="12"/>
        <v/>
      </c>
      <c r="AF31" s="574" t="str">
        <f t="shared" si="12"/>
        <v/>
      </c>
      <c r="AG31" s="574" t="str">
        <f t="shared" si="12"/>
        <v/>
      </c>
      <c r="AH31" s="574" t="str">
        <f t="shared" si="12"/>
        <v/>
      </c>
      <c r="AI31" s="574">
        <f t="shared" si="12"/>
        <v>0</v>
      </c>
      <c r="AJ31" s="574" t="str">
        <f t="shared" si="12"/>
        <v/>
      </c>
      <c r="AK31" s="574" t="str">
        <f t="shared" si="12"/>
        <v/>
      </c>
      <c r="AL31" s="574" t="str">
        <f t="shared" si="12"/>
        <v/>
      </c>
      <c r="AM31" s="574" t="str">
        <f t="shared" si="9"/>
        <v/>
      </c>
      <c r="AN31" s="574" t="str">
        <f t="shared" si="9"/>
        <v/>
      </c>
      <c r="AO31" s="574" t="str">
        <f t="shared" si="9"/>
        <v/>
      </c>
      <c r="AP31" s="574" t="str">
        <f t="shared" si="9"/>
        <v/>
      </c>
      <c r="AQ31" s="574" t="str">
        <f t="shared" si="9"/>
        <v/>
      </c>
      <c r="AR31" s="574" t="str">
        <f t="shared" si="9"/>
        <v/>
      </c>
      <c r="AS31" s="574" t="str">
        <f t="shared" si="7"/>
        <v/>
      </c>
      <c r="AT31" s="574" t="str">
        <f t="shared" si="7"/>
        <v/>
      </c>
      <c r="AU31" s="574" t="str">
        <f t="shared" si="7"/>
        <v/>
      </c>
      <c r="AV31" s="574" t="str">
        <f t="shared" si="7"/>
        <v/>
      </c>
      <c r="AW31" s="574" t="str">
        <f t="shared" si="7"/>
        <v/>
      </c>
      <c r="AX31" s="574" t="str">
        <f t="shared" si="8"/>
        <v/>
      </c>
      <c r="AY31" s="574" t="str">
        <f t="shared" si="8"/>
        <v/>
      </c>
      <c r="AZ31" s="574" t="str">
        <f t="shared" si="8"/>
        <v/>
      </c>
      <c r="BA31" s="574" t="str">
        <f t="shared" si="8"/>
        <v/>
      </c>
      <c r="BB31" s="574" t="str">
        <f t="shared" si="8"/>
        <v/>
      </c>
      <c r="BC31" s="574" t="str">
        <f t="shared" si="8"/>
        <v/>
      </c>
      <c r="BD31" s="574" t="str">
        <f t="shared" si="8"/>
        <v/>
      </c>
      <c r="BE31" s="574" t="str">
        <f t="shared" si="8"/>
        <v/>
      </c>
      <c r="BF31" s="574" t="str">
        <f t="shared" si="8"/>
        <v/>
      </c>
      <c r="BG31" s="574" t="str">
        <f t="shared" si="8"/>
        <v/>
      </c>
      <c r="BH31" s="574" t="str">
        <f t="shared" si="8"/>
        <v/>
      </c>
      <c r="BI31" s="510">
        <f t="shared" si="1"/>
        <v>25</v>
      </c>
      <c r="BJ31" s="631">
        <f t="shared" si="3"/>
        <v>0</v>
      </c>
      <c r="BK31" s="632" t="str">
        <f t="shared" si="4"/>
        <v>&gt;50 ML to &lt;=200 ML Clean, Unlined, Native</v>
      </c>
    </row>
    <row r="32" spans="1:63">
      <c r="A32" s="532"/>
      <c r="B32" s="562">
        <f t="shared" si="5"/>
        <v>24</v>
      </c>
      <c r="C32" s="138"/>
      <c r="D32" s="591"/>
      <c r="E32" s="57" t="str">
        <f t="shared" si="11"/>
        <v>Clean</v>
      </c>
      <c r="F32" s="57" t="s">
        <v>188</v>
      </c>
      <c r="G32" s="57" t="str">
        <f t="shared" si="6"/>
        <v>Arid</v>
      </c>
      <c r="H32" s="57" t="str">
        <f t="shared" si="10"/>
        <v>Unlined</v>
      </c>
      <c r="I32" s="57" t="s">
        <v>1990</v>
      </c>
      <c r="J32" s="67"/>
      <c r="K32" s="55"/>
      <c r="L32" s="494"/>
      <c r="M32" s="574" t="str">
        <f t="shared" si="13"/>
        <v/>
      </c>
      <c r="N32" s="574" t="str">
        <f t="shared" si="13"/>
        <v/>
      </c>
      <c r="O32" s="574" t="str">
        <f t="shared" si="13"/>
        <v/>
      </c>
      <c r="P32" s="574" t="str">
        <f t="shared" si="13"/>
        <v/>
      </c>
      <c r="Q32" s="574" t="str">
        <f t="shared" si="13"/>
        <v/>
      </c>
      <c r="R32" s="574" t="str">
        <f t="shared" si="13"/>
        <v/>
      </c>
      <c r="S32" s="574" t="str">
        <f t="shared" si="13"/>
        <v/>
      </c>
      <c r="T32" s="574" t="str">
        <f t="shared" si="13"/>
        <v/>
      </c>
      <c r="U32" s="574" t="str">
        <f t="shared" si="13"/>
        <v/>
      </c>
      <c r="V32" s="574" t="str">
        <f t="shared" si="13"/>
        <v/>
      </c>
      <c r="W32" s="574" t="str">
        <f t="shared" si="13"/>
        <v/>
      </c>
      <c r="X32" s="574" t="str">
        <f t="shared" si="13"/>
        <v/>
      </c>
      <c r="Y32" s="574" t="str">
        <f t="shared" si="13"/>
        <v/>
      </c>
      <c r="Z32" s="574" t="str">
        <f t="shared" si="13"/>
        <v/>
      </c>
      <c r="AA32" s="574" t="str">
        <f t="shared" si="13"/>
        <v/>
      </c>
      <c r="AB32" s="574" t="str">
        <f t="shared" si="13"/>
        <v/>
      </c>
      <c r="AC32" s="574" t="str">
        <f t="shared" si="12"/>
        <v/>
      </c>
      <c r="AD32" s="574" t="str">
        <f t="shared" si="12"/>
        <v/>
      </c>
      <c r="AE32" s="574" t="str">
        <f t="shared" si="12"/>
        <v/>
      </c>
      <c r="AF32" s="574" t="str">
        <f t="shared" si="12"/>
        <v/>
      </c>
      <c r="AG32" s="574" t="str">
        <f t="shared" si="12"/>
        <v/>
      </c>
      <c r="AH32" s="574" t="str">
        <f t="shared" si="12"/>
        <v/>
      </c>
      <c r="AI32" s="574" t="str">
        <f t="shared" si="12"/>
        <v/>
      </c>
      <c r="AJ32" s="574">
        <f t="shared" si="12"/>
        <v>0</v>
      </c>
      <c r="AK32" s="574" t="str">
        <f t="shared" si="12"/>
        <v/>
      </c>
      <c r="AL32" s="574" t="str">
        <f t="shared" si="12"/>
        <v/>
      </c>
      <c r="AM32" s="574" t="str">
        <f t="shared" si="9"/>
        <v/>
      </c>
      <c r="AN32" s="574" t="str">
        <f t="shared" si="9"/>
        <v/>
      </c>
      <c r="AO32" s="574" t="str">
        <f t="shared" si="9"/>
        <v/>
      </c>
      <c r="AP32" s="574" t="str">
        <f t="shared" ref="AP32:BE49" si="14">IF($BK32=AP$7,$K32,"")</f>
        <v/>
      </c>
      <c r="AQ32" s="574" t="str">
        <f t="shared" si="14"/>
        <v/>
      </c>
      <c r="AR32" s="574" t="str">
        <f t="shared" si="14"/>
        <v/>
      </c>
      <c r="AS32" s="574" t="str">
        <f t="shared" si="14"/>
        <v/>
      </c>
      <c r="AT32" s="574" t="str">
        <f t="shared" si="14"/>
        <v/>
      </c>
      <c r="AU32" s="574" t="str">
        <f t="shared" si="14"/>
        <v/>
      </c>
      <c r="AV32" s="574" t="str">
        <f t="shared" si="14"/>
        <v/>
      </c>
      <c r="AW32" s="574" t="str">
        <f t="shared" si="14"/>
        <v/>
      </c>
      <c r="AX32" s="574" t="str">
        <f t="shared" si="14"/>
        <v/>
      </c>
      <c r="AY32" s="574" t="str">
        <f t="shared" si="14"/>
        <v/>
      </c>
      <c r="AZ32" s="574" t="str">
        <f t="shared" si="14"/>
        <v/>
      </c>
      <c r="BA32" s="574" t="str">
        <f t="shared" si="14"/>
        <v/>
      </c>
      <c r="BB32" s="574" t="str">
        <f t="shared" si="14"/>
        <v/>
      </c>
      <c r="BC32" s="574" t="str">
        <f t="shared" si="14"/>
        <v/>
      </c>
      <c r="BD32" s="574" t="str">
        <f t="shared" si="14"/>
        <v/>
      </c>
      <c r="BE32" s="574" t="str">
        <f t="shared" si="14"/>
        <v/>
      </c>
      <c r="BF32" s="574" t="str">
        <f t="shared" si="8"/>
        <v/>
      </c>
      <c r="BG32" s="574" t="str">
        <f t="shared" si="8"/>
        <v/>
      </c>
      <c r="BH32" s="574" t="str">
        <f t="shared" si="8"/>
        <v/>
      </c>
      <c r="BI32" s="510">
        <f t="shared" si="1"/>
        <v>26</v>
      </c>
      <c r="BJ32" s="631">
        <f t="shared" si="3"/>
        <v>0</v>
      </c>
      <c r="BK32" s="632" t="str">
        <f t="shared" si="4"/>
        <v>&gt;50 ML to &lt;=200 ML Clean, Unlined, Arid</v>
      </c>
    </row>
    <row r="33" spans="1:63">
      <c r="A33" s="532"/>
      <c r="B33" s="562">
        <f t="shared" si="5"/>
        <v>25</v>
      </c>
      <c r="C33" s="138"/>
      <c r="D33" s="591"/>
      <c r="E33" s="57" t="str">
        <f t="shared" si="11"/>
        <v>Contaminated</v>
      </c>
      <c r="F33" s="57" t="s">
        <v>189</v>
      </c>
      <c r="G33" s="57" t="str">
        <f t="shared" si="6"/>
        <v>Pasture</v>
      </c>
      <c r="H33" s="57" t="str">
        <f t="shared" si="10"/>
        <v>Lined</v>
      </c>
      <c r="I33" s="57" t="s">
        <v>1990</v>
      </c>
      <c r="J33" s="67"/>
      <c r="K33" s="55"/>
      <c r="L33" s="494"/>
      <c r="M33" s="574" t="str">
        <f t="shared" si="13"/>
        <v/>
      </c>
      <c r="N33" s="574" t="str">
        <f t="shared" si="13"/>
        <v/>
      </c>
      <c r="O33" s="574" t="str">
        <f t="shared" si="13"/>
        <v/>
      </c>
      <c r="P33" s="574" t="str">
        <f t="shared" si="13"/>
        <v/>
      </c>
      <c r="Q33" s="574" t="str">
        <f t="shared" si="13"/>
        <v/>
      </c>
      <c r="R33" s="574" t="str">
        <f t="shared" si="13"/>
        <v/>
      </c>
      <c r="S33" s="574" t="str">
        <f t="shared" si="13"/>
        <v/>
      </c>
      <c r="T33" s="574" t="str">
        <f t="shared" si="13"/>
        <v/>
      </c>
      <c r="U33" s="574" t="str">
        <f t="shared" si="13"/>
        <v/>
      </c>
      <c r="V33" s="574" t="str">
        <f t="shared" si="13"/>
        <v/>
      </c>
      <c r="W33" s="574" t="str">
        <f t="shared" si="13"/>
        <v/>
      </c>
      <c r="X33" s="574" t="str">
        <f t="shared" si="13"/>
        <v/>
      </c>
      <c r="Y33" s="574" t="str">
        <f t="shared" si="13"/>
        <v/>
      </c>
      <c r="Z33" s="574" t="str">
        <f t="shared" si="13"/>
        <v/>
      </c>
      <c r="AA33" s="574" t="str">
        <f t="shared" si="13"/>
        <v/>
      </c>
      <c r="AB33" s="574" t="str">
        <f t="shared" si="13"/>
        <v/>
      </c>
      <c r="AC33" s="574" t="str">
        <f t="shared" si="12"/>
        <v/>
      </c>
      <c r="AD33" s="574" t="str">
        <f t="shared" si="12"/>
        <v/>
      </c>
      <c r="AE33" s="574" t="str">
        <f t="shared" si="12"/>
        <v/>
      </c>
      <c r="AF33" s="574" t="str">
        <f t="shared" si="12"/>
        <v/>
      </c>
      <c r="AG33" s="574" t="str">
        <f t="shared" si="12"/>
        <v/>
      </c>
      <c r="AH33" s="574" t="str">
        <f t="shared" si="12"/>
        <v/>
      </c>
      <c r="AI33" s="574" t="str">
        <f t="shared" si="12"/>
        <v/>
      </c>
      <c r="AJ33" s="574" t="str">
        <f t="shared" si="12"/>
        <v/>
      </c>
      <c r="AK33" s="574">
        <f t="shared" si="12"/>
        <v>0</v>
      </c>
      <c r="AL33" s="574" t="str">
        <f t="shared" si="12"/>
        <v/>
      </c>
      <c r="AM33" s="574" t="str">
        <f t="shared" ref="AM33:BB50" si="15">IF($BK33=AM$7,$K33,"")</f>
        <v/>
      </c>
      <c r="AN33" s="574" t="str">
        <f t="shared" si="15"/>
        <v/>
      </c>
      <c r="AO33" s="574" t="str">
        <f t="shared" si="15"/>
        <v/>
      </c>
      <c r="AP33" s="574" t="str">
        <f t="shared" si="15"/>
        <v/>
      </c>
      <c r="AQ33" s="574" t="str">
        <f t="shared" si="15"/>
        <v/>
      </c>
      <c r="AR33" s="574" t="str">
        <f t="shared" si="15"/>
        <v/>
      </c>
      <c r="AS33" s="574" t="str">
        <f t="shared" si="15"/>
        <v/>
      </c>
      <c r="AT33" s="574" t="str">
        <f t="shared" si="15"/>
        <v/>
      </c>
      <c r="AU33" s="574" t="str">
        <f t="shared" si="15"/>
        <v/>
      </c>
      <c r="AV33" s="574" t="str">
        <f t="shared" si="15"/>
        <v/>
      </c>
      <c r="AW33" s="574" t="str">
        <f t="shared" si="15"/>
        <v/>
      </c>
      <c r="AX33" s="574" t="str">
        <f t="shared" si="15"/>
        <v/>
      </c>
      <c r="AY33" s="574" t="str">
        <f t="shared" si="15"/>
        <v/>
      </c>
      <c r="AZ33" s="574" t="str">
        <f t="shared" si="15"/>
        <v/>
      </c>
      <c r="BA33" s="574" t="str">
        <f t="shared" si="15"/>
        <v/>
      </c>
      <c r="BB33" s="574" t="str">
        <f t="shared" si="15"/>
        <v/>
      </c>
      <c r="BC33" s="574" t="str">
        <f t="shared" si="14"/>
        <v/>
      </c>
      <c r="BD33" s="574" t="str">
        <f t="shared" si="14"/>
        <v/>
      </c>
      <c r="BE33" s="574" t="str">
        <f t="shared" si="14"/>
        <v/>
      </c>
      <c r="BF33" s="574" t="str">
        <f t="shared" si="8"/>
        <v/>
      </c>
      <c r="BG33" s="574" t="str">
        <f t="shared" si="8"/>
        <v/>
      </c>
      <c r="BH33" s="574" t="str">
        <f t="shared" si="8"/>
        <v/>
      </c>
      <c r="BI33" s="510">
        <f t="shared" si="1"/>
        <v>27</v>
      </c>
      <c r="BJ33" s="631">
        <f t="shared" si="3"/>
        <v>0</v>
      </c>
      <c r="BK33" s="632" t="str">
        <f t="shared" si="4"/>
        <v>&gt;200 ML to &lt;=1000 ML Contaminated, Lined, Pasture</v>
      </c>
    </row>
    <row r="34" spans="1:63">
      <c r="A34" s="532"/>
      <c r="B34" s="562">
        <f t="shared" si="5"/>
        <v>26</v>
      </c>
      <c r="C34" s="138"/>
      <c r="D34" s="591"/>
      <c r="E34" s="57" t="str">
        <f t="shared" si="11"/>
        <v>Contaminated</v>
      </c>
      <c r="F34" s="57" t="s">
        <v>189</v>
      </c>
      <c r="G34" s="57" t="str">
        <f t="shared" si="6"/>
        <v>Native</v>
      </c>
      <c r="H34" s="57" t="str">
        <f t="shared" si="10"/>
        <v>Lined</v>
      </c>
      <c r="I34" s="57" t="s">
        <v>1990</v>
      </c>
      <c r="J34" s="67"/>
      <c r="K34" s="55"/>
      <c r="L34" s="494"/>
      <c r="M34" s="574" t="str">
        <f t="shared" si="13"/>
        <v/>
      </c>
      <c r="N34" s="574" t="str">
        <f t="shared" si="13"/>
        <v/>
      </c>
      <c r="O34" s="574" t="str">
        <f t="shared" si="13"/>
        <v/>
      </c>
      <c r="P34" s="574" t="str">
        <f t="shared" si="13"/>
        <v/>
      </c>
      <c r="Q34" s="574" t="str">
        <f t="shared" si="13"/>
        <v/>
      </c>
      <c r="R34" s="574" t="str">
        <f t="shared" si="13"/>
        <v/>
      </c>
      <c r="S34" s="574" t="str">
        <f t="shared" si="13"/>
        <v/>
      </c>
      <c r="T34" s="574" t="str">
        <f t="shared" si="13"/>
        <v/>
      </c>
      <c r="U34" s="574" t="str">
        <f t="shared" si="13"/>
        <v/>
      </c>
      <c r="V34" s="574" t="str">
        <f t="shared" si="13"/>
        <v/>
      </c>
      <c r="W34" s="574" t="str">
        <f t="shared" si="13"/>
        <v/>
      </c>
      <c r="X34" s="574" t="str">
        <f t="shared" si="13"/>
        <v/>
      </c>
      <c r="Y34" s="574" t="str">
        <f t="shared" si="13"/>
        <v/>
      </c>
      <c r="Z34" s="574" t="str">
        <f t="shared" si="13"/>
        <v/>
      </c>
      <c r="AA34" s="574" t="str">
        <f t="shared" si="13"/>
        <v/>
      </c>
      <c r="AB34" s="574" t="str">
        <f t="shared" si="13"/>
        <v/>
      </c>
      <c r="AC34" s="574" t="str">
        <f t="shared" si="12"/>
        <v/>
      </c>
      <c r="AD34" s="574" t="str">
        <f t="shared" si="12"/>
        <v/>
      </c>
      <c r="AE34" s="574" t="str">
        <f t="shared" si="12"/>
        <v/>
      </c>
      <c r="AF34" s="574" t="str">
        <f t="shared" si="12"/>
        <v/>
      </c>
      <c r="AG34" s="574" t="str">
        <f t="shared" si="12"/>
        <v/>
      </c>
      <c r="AH34" s="574" t="str">
        <f t="shared" si="12"/>
        <v/>
      </c>
      <c r="AI34" s="574" t="str">
        <f t="shared" si="12"/>
        <v/>
      </c>
      <c r="AJ34" s="574" t="str">
        <f t="shared" si="12"/>
        <v/>
      </c>
      <c r="AK34" s="574" t="str">
        <f t="shared" si="12"/>
        <v/>
      </c>
      <c r="AL34" s="574">
        <f t="shared" si="12"/>
        <v>0</v>
      </c>
      <c r="AM34" s="574" t="str">
        <f t="shared" si="15"/>
        <v/>
      </c>
      <c r="AN34" s="574" t="str">
        <f t="shared" si="15"/>
        <v/>
      </c>
      <c r="AO34" s="574" t="str">
        <f t="shared" si="15"/>
        <v/>
      </c>
      <c r="AP34" s="574" t="str">
        <f t="shared" si="15"/>
        <v/>
      </c>
      <c r="AQ34" s="574" t="str">
        <f t="shared" si="15"/>
        <v/>
      </c>
      <c r="AR34" s="574" t="str">
        <f t="shared" si="15"/>
        <v/>
      </c>
      <c r="AS34" s="574" t="str">
        <f t="shared" si="15"/>
        <v/>
      </c>
      <c r="AT34" s="574" t="str">
        <f t="shared" si="15"/>
        <v/>
      </c>
      <c r="AU34" s="574" t="str">
        <f t="shared" si="15"/>
        <v/>
      </c>
      <c r="AV34" s="574" t="str">
        <f t="shared" si="15"/>
        <v/>
      </c>
      <c r="AW34" s="574" t="str">
        <f t="shared" si="15"/>
        <v/>
      </c>
      <c r="AX34" s="574" t="str">
        <f t="shared" si="15"/>
        <v/>
      </c>
      <c r="AY34" s="574" t="str">
        <f t="shared" si="15"/>
        <v/>
      </c>
      <c r="AZ34" s="574" t="str">
        <f t="shared" si="15"/>
        <v/>
      </c>
      <c r="BA34" s="574" t="str">
        <f t="shared" si="15"/>
        <v/>
      </c>
      <c r="BB34" s="574" t="str">
        <f t="shared" si="15"/>
        <v/>
      </c>
      <c r="BC34" s="574" t="str">
        <f t="shared" si="14"/>
        <v/>
      </c>
      <c r="BD34" s="574" t="str">
        <f t="shared" si="14"/>
        <v/>
      </c>
      <c r="BE34" s="574" t="str">
        <f t="shared" si="14"/>
        <v/>
      </c>
      <c r="BF34" s="574" t="str">
        <f t="shared" si="8"/>
        <v/>
      </c>
      <c r="BG34" s="574" t="str">
        <f t="shared" si="8"/>
        <v/>
      </c>
      <c r="BH34" s="574" t="str">
        <f t="shared" si="8"/>
        <v/>
      </c>
      <c r="BI34" s="510">
        <f t="shared" si="1"/>
        <v>28</v>
      </c>
      <c r="BJ34" s="631">
        <f t="shared" si="3"/>
        <v>0</v>
      </c>
      <c r="BK34" s="632" t="str">
        <f t="shared" si="4"/>
        <v>&gt;200 ML to &lt;=1000 ML Contaminated, Lined, Native</v>
      </c>
    </row>
    <row r="35" spans="1:63">
      <c r="A35" s="532"/>
      <c r="B35" s="562">
        <f t="shared" si="5"/>
        <v>27</v>
      </c>
      <c r="C35" s="138"/>
      <c r="D35" s="591"/>
      <c r="E35" s="57" t="str">
        <f t="shared" si="11"/>
        <v>Contaminated</v>
      </c>
      <c r="F35" s="57" t="s">
        <v>189</v>
      </c>
      <c r="G35" s="57" t="str">
        <f t="shared" si="6"/>
        <v>Arid</v>
      </c>
      <c r="H35" s="57" t="str">
        <f t="shared" si="10"/>
        <v>Lined</v>
      </c>
      <c r="I35" s="57" t="s">
        <v>1990</v>
      </c>
      <c r="J35" s="67"/>
      <c r="K35" s="55"/>
      <c r="L35" s="494"/>
      <c r="M35" s="574" t="str">
        <f t="shared" si="13"/>
        <v/>
      </c>
      <c r="N35" s="574" t="str">
        <f t="shared" si="13"/>
        <v/>
      </c>
      <c r="O35" s="574" t="str">
        <f t="shared" si="13"/>
        <v/>
      </c>
      <c r="P35" s="574" t="str">
        <f t="shared" si="13"/>
        <v/>
      </c>
      <c r="Q35" s="574" t="str">
        <f t="shared" si="13"/>
        <v/>
      </c>
      <c r="R35" s="574" t="str">
        <f t="shared" si="13"/>
        <v/>
      </c>
      <c r="S35" s="574" t="str">
        <f t="shared" si="13"/>
        <v/>
      </c>
      <c r="T35" s="574" t="str">
        <f t="shared" si="13"/>
        <v/>
      </c>
      <c r="U35" s="574" t="str">
        <f t="shared" si="13"/>
        <v/>
      </c>
      <c r="V35" s="574" t="str">
        <f t="shared" si="13"/>
        <v/>
      </c>
      <c r="W35" s="574" t="str">
        <f t="shared" si="13"/>
        <v/>
      </c>
      <c r="X35" s="574" t="str">
        <f t="shared" si="13"/>
        <v/>
      </c>
      <c r="Y35" s="574" t="str">
        <f t="shared" si="13"/>
        <v/>
      </c>
      <c r="Z35" s="574" t="str">
        <f t="shared" si="13"/>
        <v/>
      </c>
      <c r="AA35" s="574" t="str">
        <f t="shared" si="13"/>
        <v/>
      </c>
      <c r="AB35" s="574" t="str">
        <f t="shared" si="13"/>
        <v/>
      </c>
      <c r="AC35" s="574" t="str">
        <f t="shared" si="12"/>
        <v/>
      </c>
      <c r="AD35" s="574" t="str">
        <f t="shared" si="12"/>
        <v/>
      </c>
      <c r="AE35" s="574" t="str">
        <f t="shared" si="12"/>
        <v/>
      </c>
      <c r="AF35" s="574" t="str">
        <f t="shared" si="12"/>
        <v/>
      </c>
      <c r="AG35" s="574" t="str">
        <f t="shared" si="12"/>
        <v/>
      </c>
      <c r="AH35" s="574" t="str">
        <f t="shared" si="12"/>
        <v/>
      </c>
      <c r="AI35" s="574" t="str">
        <f t="shared" si="12"/>
        <v/>
      </c>
      <c r="AJ35" s="574" t="str">
        <f t="shared" si="12"/>
        <v/>
      </c>
      <c r="AK35" s="574" t="str">
        <f t="shared" si="12"/>
        <v/>
      </c>
      <c r="AL35" s="574" t="str">
        <f t="shared" si="12"/>
        <v/>
      </c>
      <c r="AM35" s="574">
        <f t="shared" si="15"/>
        <v>0</v>
      </c>
      <c r="AN35" s="574" t="str">
        <f t="shared" si="15"/>
        <v/>
      </c>
      <c r="AO35" s="574" t="str">
        <f t="shared" si="15"/>
        <v/>
      </c>
      <c r="AP35" s="574" t="str">
        <f t="shared" si="15"/>
        <v/>
      </c>
      <c r="AQ35" s="574" t="str">
        <f t="shared" si="15"/>
        <v/>
      </c>
      <c r="AR35" s="574" t="str">
        <f t="shared" si="15"/>
        <v/>
      </c>
      <c r="AS35" s="574" t="str">
        <f t="shared" si="15"/>
        <v/>
      </c>
      <c r="AT35" s="574" t="str">
        <f t="shared" si="15"/>
        <v/>
      </c>
      <c r="AU35" s="574" t="str">
        <f t="shared" si="15"/>
        <v/>
      </c>
      <c r="AV35" s="574" t="str">
        <f t="shared" si="15"/>
        <v/>
      </c>
      <c r="AW35" s="574" t="str">
        <f t="shared" si="15"/>
        <v/>
      </c>
      <c r="AX35" s="574" t="str">
        <f t="shared" si="15"/>
        <v/>
      </c>
      <c r="AY35" s="574" t="str">
        <f t="shared" si="15"/>
        <v/>
      </c>
      <c r="AZ35" s="574" t="str">
        <f t="shared" si="15"/>
        <v/>
      </c>
      <c r="BA35" s="574" t="str">
        <f t="shared" si="15"/>
        <v/>
      </c>
      <c r="BB35" s="574" t="str">
        <f t="shared" si="15"/>
        <v/>
      </c>
      <c r="BC35" s="574" t="str">
        <f t="shared" si="14"/>
        <v/>
      </c>
      <c r="BD35" s="574" t="str">
        <f t="shared" si="14"/>
        <v/>
      </c>
      <c r="BE35" s="574" t="str">
        <f t="shared" si="14"/>
        <v/>
      </c>
      <c r="BF35" s="574" t="str">
        <f t="shared" si="8"/>
        <v/>
      </c>
      <c r="BG35" s="574" t="str">
        <f t="shared" si="8"/>
        <v/>
      </c>
      <c r="BH35" s="574" t="str">
        <f t="shared" si="8"/>
        <v/>
      </c>
      <c r="BI35" s="510">
        <f t="shared" si="1"/>
        <v>29</v>
      </c>
      <c r="BJ35" s="631">
        <f t="shared" si="3"/>
        <v>0</v>
      </c>
      <c r="BK35" s="632" t="str">
        <f t="shared" si="4"/>
        <v>&gt;200 ML to &lt;=1000 ML Contaminated, Lined, Arid</v>
      </c>
    </row>
    <row r="36" spans="1:63">
      <c r="A36" s="532"/>
      <c r="B36" s="562">
        <f t="shared" si="5"/>
        <v>28</v>
      </c>
      <c r="C36" s="138"/>
      <c r="D36" s="591"/>
      <c r="E36" s="57" t="str">
        <f t="shared" si="11"/>
        <v>Contaminated</v>
      </c>
      <c r="F36" s="57" t="s">
        <v>189</v>
      </c>
      <c r="G36" s="57" t="str">
        <f t="shared" si="6"/>
        <v>Pasture</v>
      </c>
      <c r="H36" s="57" t="str">
        <f t="shared" si="10"/>
        <v>Unlined</v>
      </c>
      <c r="I36" s="57" t="s">
        <v>1990</v>
      </c>
      <c r="J36" s="67"/>
      <c r="K36" s="55"/>
      <c r="L36" s="494"/>
      <c r="M36" s="574" t="str">
        <f t="shared" si="13"/>
        <v/>
      </c>
      <c r="N36" s="574" t="str">
        <f t="shared" si="13"/>
        <v/>
      </c>
      <c r="O36" s="574" t="str">
        <f t="shared" si="13"/>
        <v/>
      </c>
      <c r="P36" s="574" t="str">
        <f t="shared" si="13"/>
        <v/>
      </c>
      <c r="Q36" s="574" t="str">
        <f t="shared" si="13"/>
        <v/>
      </c>
      <c r="R36" s="574" t="str">
        <f t="shared" si="13"/>
        <v/>
      </c>
      <c r="S36" s="574" t="str">
        <f t="shared" si="13"/>
        <v/>
      </c>
      <c r="T36" s="574" t="str">
        <f t="shared" si="13"/>
        <v/>
      </c>
      <c r="U36" s="574" t="str">
        <f t="shared" si="13"/>
        <v/>
      </c>
      <c r="V36" s="574" t="str">
        <f t="shared" si="13"/>
        <v/>
      </c>
      <c r="W36" s="574" t="str">
        <f t="shared" si="13"/>
        <v/>
      </c>
      <c r="X36" s="574" t="str">
        <f t="shared" si="13"/>
        <v/>
      </c>
      <c r="Y36" s="574" t="str">
        <f t="shared" si="13"/>
        <v/>
      </c>
      <c r="Z36" s="574" t="str">
        <f t="shared" si="13"/>
        <v/>
      </c>
      <c r="AA36" s="574" t="str">
        <f t="shared" si="13"/>
        <v/>
      </c>
      <c r="AB36" s="574" t="str">
        <f t="shared" si="13"/>
        <v/>
      </c>
      <c r="AC36" s="574" t="str">
        <f t="shared" si="12"/>
        <v/>
      </c>
      <c r="AD36" s="574" t="str">
        <f t="shared" si="12"/>
        <v/>
      </c>
      <c r="AE36" s="574" t="str">
        <f t="shared" si="12"/>
        <v/>
      </c>
      <c r="AF36" s="574" t="str">
        <f t="shared" si="12"/>
        <v/>
      </c>
      <c r="AG36" s="574" t="str">
        <f t="shared" si="12"/>
        <v/>
      </c>
      <c r="AH36" s="574" t="str">
        <f t="shared" si="12"/>
        <v/>
      </c>
      <c r="AI36" s="574" t="str">
        <f t="shared" si="12"/>
        <v/>
      </c>
      <c r="AJ36" s="574" t="str">
        <f t="shared" si="12"/>
        <v/>
      </c>
      <c r="AK36" s="574" t="str">
        <f t="shared" si="12"/>
        <v/>
      </c>
      <c r="AL36" s="574" t="str">
        <f t="shared" si="12"/>
        <v/>
      </c>
      <c r="AM36" s="574" t="str">
        <f t="shared" si="15"/>
        <v/>
      </c>
      <c r="AN36" s="574">
        <f t="shared" si="15"/>
        <v>0</v>
      </c>
      <c r="AO36" s="574" t="str">
        <f t="shared" si="15"/>
        <v/>
      </c>
      <c r="AP36" s="574" t="str">
        <f t="shared" si="15"/>
        <v/>
      </c>
      <c r="AQ36" s="574" t="str">
        <f t="shared" si="15"/>
        <v/>
      </c>
      <c r="AR36" s="574" t="str">
        <f t="shared" si="15"/>
        <v/>
      </c>
      <c r="AS36" s="574" t="str">
        <f t="shared" si="15"/>
        <v/>
      </c>
      <c r="AT36" s="574" t="str">
        <f t="shared" si="15"/>
        <v/>
      </c>
      <c r="AU36" s="574" t="str">
        <f t="shared" si="15"/>
        <v/>
      </c>
      <c r="AV36" s="574" t="str">
        <f t="shared" si="15"/>
        <v/>
      </c>
      <c r="AW36" s="574" t="str">
        <f t="shared" si="15"/>
        <v/>
      </c>
      <c r="AX36" s="574" t="str">
        <f t="shared" si="15"/>
        <v/>
      </c>
      <c r="AY36" s="574" t="str">
        <f t="shared" si="15"/>
        <v/>
      </c>
      <c r="AZ36" s="574" t="str">
        <f t="shared" si="15"/>
        <v/>
      </c>
      <c r="BA36" s="574" t="str">
        <f t="shared" si="15"/>
        <v/>
      </c>
      <c r="BB36" s="574" t="str">
        <f t="shared" si="15"/>
        <v/>
      </c>
      <c r="BC36" s="574" t="str">
        <f t="shared" si="14"/>
        <v/>
      </c>
      <c r="BD36" s="574" t="str">
        <f t="shared" si="14"/>
        <v/>
      </c>
      <c r="BE36" s="574" t="str">
        <f t="shared" si="14"/>
        <v/>
      </c>
      <c r="BF36" s="574" t="str">
        <f t="shared" si="8"/>
        <v/>
      </c>
      <c r="BG36" s="574" t="str">
        <f t="shared" si="8"/>
        <v/>
      </c>
      <c r="BH36" s="574" t="str">
        <f t="shared" si="8"/>
        <v/>
      </c>
      <c r="BI36" s="510">
        <f t="shared" si="1"/>
        <v>30</v>
      </c>
      <c r="BJ36" s="631">
        <f t="shared" si="3"/>
        <v>0</v>
      </c>
      <c r="BK36" s="632" t="str">
        <f t="shared" si="4"/>
        <v>&gt;200 ML to &lt;=1000 ML Contaminated, Unlined, Pasture</v>
      </c>
    </row>
    <row r="37" spans="1:63">
      <c r="A37" s="532"/>
      <c r="B37" s="562">
        <f t="shared" si="5"/>
        <v>29</v>
      </c>
      <c r="C37" s="138"/>
      <c r="D37" s="591"/>
      <c r="E37" s="57" t="str">
        <f t="shared" si="11"/>
        <v>Contaminated</v>
      </c>
      <c r="F37" s="57" t="s">
        <v>189</v>
      </c>
      <c r="G37" s="57" t="str">
        <f t="shared" si="6"/>
        <v>Native</v>
      </c>
      <c r="H37" s="57" t="str">
        <f t="shared" si="10"/>
        <v>Unlined</v>
      </c>
      <c r="I37" s="57" t="s">
        <v>1990</v>
      </c>
      <c r="J37" s="67"/>
      <c r="K37" s="55"/>
      <c r="L37" s="494"/>
      <c r="M37" s="574" t="str">
        <f t="shared" si="13"/>
        <v/>
      </c>
      <c r="N37" s="574" t="str">
        <f t="shared" si="13"/>
        <v/>
      </c>
      <c r="O37" s="574" t="str">
        <f t="shared" si="13"/>
        <v/>
      </c>
      <c r="P37" s="574" t="str">
        <f t="shared" si="13"/>
        <v/>
      </c>
      <c r="Q37" s="574" t="str">
        <f t="shared" si="13"/>
        <v/>
      </c>
      <c r="R37" s="574" t="str">
        <f t="shared" si="13"/>
        <v/>
      </c>
      <c r="S37" s="574" t="str">
        <f t="shared" si="13"/>
        <v/>
      </c>
      <c r="T37" s="574" t="str">
        <f t="shared" si="13"/>
        <v/>
      </c>
      <c r="U37" s="574" t="str">
        <f t="shared" si="13"/>
        <v/>
      </c>
      <c r="V37" s="574" t="str">
        <f t="shared" si="13"/>
        <v/>
      </c>
      <c r="W37" s="574" t="str">
        <f t="shared" si="13"/>
        <v/>
      </c>
      <c r="X37" s="574" t="str">
        <f t="shared" si="13"/>
        <v/>
      </c>
      <c r="Y37" s="574" t="str">
        <f t="shared" si="13"/>
        <v/>
      </c>
      <c r="Z37" s="574" t="str">
        <f t="shared" si="13"/>
        <v/>
      </c>
      <c r="AA37" s="574" t="str">
        <f t="shared" si="13"/>
        <v/>
      </c>
      <c r="AB37" s="574" t="str">
        <f t="shared" si="13"/>
        <v/>
      </c>
      <c r="AC37" s="574" t="str">
        <f t="shared" si="12"/>
        <v/>
      </c>
      <c r="AD37" s="574" t="str">
        <f t="shared" si="12"/>
        <v/>
      </c>
      <c r="AE37" s="574" t="str">
        <f t="shared" si="12"/>
        <v/>
      </c>
      <c r="AF37" s="574" t="str">
        <f t="shared" si="12"/>
        <v/>
      </c>
      <c r="AG37" s="574" t="str">
        <f t="shared" si="12"/>
        <v/>
      </c>
      <c r="AH37" s="574" t="str">
        <f t="shared" si="12"/>
        <v/>
      </c>
      <c r="AI37" s="574" t="str">
        <f t="shared" si="12"/>
        <v/>
      </c>
      <c r="AJ37" s="574" t="str">
        <f t="shared" si="12"/>
        <v/>
      </c>
      <c r="AK37" s="574" t="str">
        <f t="shared" si="12"/>
        <v/>
      </c>
      <c r="AL37" s="574" t="str">
        <f t="shared" si="12"/>
        <v/>
      </c>
      <c r="AM37" s="574" t="str">
        <f t="shared" si="15"/>
        <v/>
      </c>
      <c r="AN37" s="574" t="str">
        <f t="shared" si="15"/>
        <v/>
      </c>
      <c r="AO37" s="574">
        <f t="shared" si="15"/>
        <v>0</v>
      </c>
      <c r="AP37" s="574" t="str">
        <f t="shared" si="15"/>
        <v/>
      </c>
      <c r="AQ37" s="574" t="str">
        <f t="shared" si="15"/>
        <v/>
      </c>
      <c r="AR37" s="574" t="str">
        <f t="shared" si="15"/>
        <v/>
      </c>
      <c r="AS37" s="574" t="str">
        <f t="shared" si="15"/>
        <v/>
      </c>
      <c r="AT37" s="574" t="str">
        <f t="shared" si="15"/>
        <v/>
      </c>
      <c r="AU37" s="574" t="str">
        <f t="shared" si="15"/>
        <v/>
      </c>
      <c r="AV37" s="574" t="str">
        <f t="shared" si="15"/>
        <v/>
      </c>
      <c r="AW37" s="574" t="str">
        <f t="shared" si="15"/>
        <v/>
      </c>
      <c r="AX37" s="574" t="str">
        <f t="shared" si="15"/>
        <v/>
      </c>
      <c r="AY37" s="574" t="str">
        <f t="shared" si="15"/>
        <v/>
      </c>
      <c r="AZ37" s="574" t="str">
        <f t="shared" si="15"/>
        <v/>
      </c>
      <c r="BA37" s="574" t="str">
        <f t="shared" si="15"/>
        <v/>
      </c>
      <c r="BB37" s="574" t="str">
        <f t="shared" si="15"/>
        <v/>
      </c>
      <c r="BC37" s="574" t="str">
        <f t="shared" si="14"/>
        <v/>
      </c>
      <c r="BD37" s="574" t="str">
        <f t="shared" si="14"/>
        <v/>
      </c>
      <c r="BE37" s="574" t="str">
        <f t="shared" si="14"/>
        <v/>
      </c>
      <c r="BF37" s="574" t="str">
        <f t="shared" si="8"/>
        <v/>
      </c>
      <c r="BG37" s="574" t="str">
        <f t="shared" si="8"/>
        <v/>
      </c>
      <c r="BH37" s="574" t="str">
        <f t="shared" si="8"/>
        <v/>
      </c>
      <c r="BI37" s="510">
        <f t="shared" si="1"/>
        <v>31</v>
      </c>
      <c r="BJ37" s="631">
        <f t="shared" si="3"/>
        <v>0</v>
      </c>
      <c r="BK37" s="632" t="str">
        <f t="shared" si="4"/>
        <v>&gt;200 ML to &lt;=1000 ML Contaminated, Unlined, Native</v>
      </c>
    </row>
    <row r="38" spans="1:63">
      <c r="A38" s="532"/>
      <c r="B38" s="562">
        <f t="shared" si="5"/>
        <v>30</v>
      </c>
      <c r="C38" s="138"/>
      <c r="D38" s="591"/>
      <c r="E38" s="57" t="str">
        <f t="shared" si="11"/>
        <v>Contaminated</v>
      </c>
      <c r="F38" s="57" t="s">
        <v>189</v>
      </c>
      <c r="G38" s="57" t="str">
        <f t="shared" si="6"/>
        <v>Arid</v>
      </c>
      <c r="H38" s="57" t="str">
        <f t="shared" si="10"/>
        <v>Unlined</v>
      </c>
      <c r="I38" s="57" t="s">
        <v>1990</v>
      </c>
      <c r="J38" s="67"/>
      <c r="K38" s="55"/>
      <c r="L38" s="494"/>
      <c r="M38" s="574" t="str">
        <f t="shared" si="13"/>
        <v/>
      </c>
      <c r="N38" s="574" t="str">
        <f t="shared" si="13"/>
        <v/>
      </c>
      <c r="O38" s="574" t="str">
        <f t="shared" si="13"/>
        <v/>
      </c>
      <c r="P38" s="574" t="str">
        <f t="shared" si="13"/>
        <v/>
      </c>
      <c r="Q38" s="574" t="str">
        <f t="shared" si="13"/>
        <v/>
      </c>
      <c r="R38" s="574" t="str">
        <f t="shared" si="13"/>
        <v/>
      </c>
      <c r="S38" s="574" t="str">
        <f t="shared" si="13"/>
        <v/>
      </c>
      <c r="T38" s="574" t="str">
        <f t="shared" si="13"/>
        <v/>
      </c>
      <c r="U38" s="574" t="str">
        <f t="shared" si="13"/>
        <v/>
      </c>
      <c r="V38" s="574" t="str">
        <f t="shared" si="13"/>
        <v/>
      </c>
      <c r="W38" s="574" t="str">
        <f t="shared" si="13"/>
        <v/>
      </c>
      <c r="X38" s="574" t="str">
        <f t="shared" si="13"/>
        <v/>
      </c>
      <c r="Y38" s="574" t="str">
        <f t="shared" si="13"/>
        <v/>
      </c>
      <c r="Z38" s="574" t="str">
        <f t="shared" si="13"/>
        <v/>
      </c>
      <c r="AA38" s="574" t="str">
        <f t="shared" si="13"/>
        <v/>
      </c>
      <c r="AB38" s="574" t="str">
        <f t="shared" si="13"/>
        <v/>
      </c>
      <c r="AC38" s="574" t="str">
        <f t="shared" si="12"/>
        <v/>
      </c>
      <c r="AD38" s="574" t="str">
        <f t="shared" si="12"/>
        <v/>
      </c>
      <c r="AE38" s="574" t="str">
        <f t="shared" si="12"/>
        <v/>
      </c>
      <c r="AF38" s="574" t="str">
        <f t="shared" si="12"/>
        <v/>
      </c>
      <c r="AG38" s="574" t="str">
        <f t="shared" si="12"/>
        <v/>
      </c>
      <c r="AH38" s="574" t="str">
        <f t="shared" si="12"/>
        <v/>
      </c>
      <c r="AI38" s="574" t="str">
        <f t="shared" si="12"/>
        <v/>
      </c>
      <c r="AJ38" s="574" t="str">
        <f t="shared" si="12"/>
        <v/>
      </c>
      <c r="AK38" s="574" t="str">
        <f t="shared" si="12"/>
        <v/>
      </c>
      <c r="AL38" s="574" t="str">
        <f t="shared" si="12"/>
        <v/>
      </c>
      <c r="AM38" s="574" t="str">
        <f t="shared" si="15"/>
        <v/>
      </c>
      <c r="AN38" s="574" t="str">
        <f t="shared" si="15"/>
        <v/>
      </c>
      <c r="AO38" s="574" t="str">
        <f t="shared" si="15"/>
        <v/>
      </c>
      <c r="AP38" s="574">
        <f t="shared" si="15"/>
        <v>0</v>
      </c>
      <c r="AQ38" s="574" t="str">
        <f t="shared" si="15"/>
        <v/>
      </c>
      <c r="AR38" s="574" t="str">
        <f t="shared" si="15"/>
        <v/>
      </c>
      <c r="AS38" s="574" t="str">
        <f t="shared" si="15"/>
        <v/>
      </c>
      <c r="AT38" s="574" t="str">
        <f t="shared" si="15"/>
        <v/>
      </c>
      <c r="AU38" s="574" t="str">
        <f t="shared" si="15"/>
        <v/>
      </c>
      <c r="AV38" s="574" t="str">
        <f t="shared" si="15"/>
        <v/>
      </c>
      <c r="AW38" s="574" t="str">
        <f t="shared" si="15"/>
        <v/>
      </c>
      <c r="AX38" s="574" t="str">
        <f t="shared" si="15"/>
        <v/>
      </c>
      <c r="AY38" s="574" t="str">
        <f t="shared" si="15"/>
        <v/>
      </c>
      <c r="AZ38" s="574" t="str">
        <f t="shared" si="15"/>
        <v/>
      </c>
      <c r="BA38" s="574" t="str">
        <f t="shared" si="15"/>
        <v/>
      </c>
      <c r="BB38" s="574" t="str">
        <f t="shared" si="15"/>
        <v/>
      </c>
      <c r="BC38" s="574" t="str">
        <f t="shared" si="14"/>
        <v/>
      </c>
      <c r="BD38" s="574" t="str">
        <f t="shared" si="14"/>
        <v/>
      </c>
      <c r="BE38" s="574" t="str">
        <f t="shared" si="14"/>
        <v/>
      </c>
      <c r="BF38" s="574" t="str">
        <f t="shared" si="8"/>
        <v/>
      </c>
      <c r="BG38" s="574" t="str">
        <f t="shared" si="8"/>
        <v/>
      </c>
      <c r="BH38" s="574" t="str">
        <f t="shared" si="8"/>
        <v/>
      </c>
      <c r="BI38" s="510">
        <f t="shared" si="1"/>
        <v>32</v>
      </c>
      <c r="BJ38" s="631">
        <f t="shared" si="3"/>
        <v>0</v>
      </c>
      <c r="BK38" s="632" t="str">
        <f t="shared" si="4"/>
        <v>&gt;200 ML to &lt;=1000 ML Contaminated, Unlined, Arid</v>
      </c>
    </row>
    <row r="39" spans="1:63">
      <c r="A39" s="532"/>
      <c r="B39" s="562">
        <f t="shared" si="5"/>
        <v>31</v>
      </c>
      <c r="C39" s="138"/>
      <c r="D39" s="591"/>
      <c r="E39" s="57" t="str">
        <f t="shared" si="11"/>
        <v>Clean</v>
      </c>
      <c r="F39" s="57" t="s">
        <v>189</v>
      </c>
      <c r="G39" s="57" t="str">
        <f t="shared" si="6"/>
        <v>Pasture</v>
      </c>
      <c r="H39" s="57" t="str">
        <f t="shared" si="10"/>
        <v>Lined</v>
      </c>
      <c r="I39" s="57" t="s">
        <v>1990</v>
      </c>
      <c r="J39" s="67"/>
      <c r="K39" s="55"/>
      <c r="L39" s="494"/>
      <c r="M39" s="574" t="str">
        <f t="shared" si="13"/>
        <v/>
      </c>
      <c r="N39" s="574" t="str">
        <f t="shared" si="13"/>
        <v/>
      </c>
      <c r="O39" s="574" t="str">
        <f t="shared" si="13"/>
        <v/>
      </c>
      <c r="P39" s="574" t="str">
        <f t="shared" si="13"/>
        <v/>
      </c>
      <c r="Q39" s="574" t="str">
        <f t="shared" si="13"/>
        <v/>
      </c>
      <c r="R39" s="574" t="str">
        <f t="shared" si="13"/>
        <v/>
      </c>
      <c r="S39" s="574" t="str">
        <f t="shared" si="13"/>
        <v/>
      </c>
      <c r="T39" s="574" t="str">
        <f t="shared" si="13"/>
        <v/>
      </c>
      <c r="U39" s="574" t="str">
        <f t="shared" si="13"/>
        <v/>
      </c>
      <c r="V39" s="574" t="str">
        <f t="shared" si="13"/>
        <v/>
      </c>
      <c r="W39" s="574" t="str">
        <f t="shared" si="13"/>
        <v/>
      </c>
      <c r="X39" s="574" t="str">
        <f t="shared" si="13"/>
        <v/>
      </c>
      <c r="Y39" s="574" t="str">
        <f t="shared" si="13"/>
        <v/>
      </c>
      <c r="Z39" s="574" t="str">
        <f t="shared" si="13"/>
        <v/>
      </c>
      <c r="AA39" s="574" t="str">
        <f t="shared" si="13"/>
        <v/>
      </c>
      <c r="AB39" s="574" t="str">
        <f t="shared" si="13"/>
        <v/>
      </c>
      <c r="AC39" s="574" t="str">
        <f t="shared" si="12"/>
        <v/>
      </c>
      <c r="AD39" s="574" t="str">
        <f t="shared" si="12"/>
        <v/>
      </c>
      <c r="AE39" s="574" t="str">
        <f t="shared" si="12"/>
        <v/>
      </c>
      <c r="AF39" s="574" t="str">
        <f t="shared" si="12"/>
        <v/>
      </c>
      <c r="AG39" s="574" t="str">
        <f t="shared" si="12"/>
        <v/>
      </c>
      <c r="AH39" s="574" t="str">
        <f t="shared" si="12"/>
        <v/>
      </c>
      <c r="AI39" s="574" t="str">
        <f t="shared" si="12"/>
        <v/>
      </c>
      <c r="AJ39" s="574" t="str">
        <f t="shared" si="12"/>
        <v/>
      </c>
      <c r="AK39" s="574" t="str">
        <f t="shared" si="12"/>
        <v/>
      </c>
      <c r="AL39" s="574" t="str">
        <f t="shared" si="12"/>
        <v/>
      </c>
      <c r="AM39" s="574" t="str">
        <f t="shared" si="15"/>
        <v/>
      </c>
      <c r="AN39" s="574" t="str">
        <f t="shared" si="15"/>
        <v/>
      </c>
      <c r="AO39" s="574" t="str">
        <f t="shared" si="15"/>
        <v/>
      </c>
      <c r="AP39" s="574" t="str">
        <f t="shared" si="15"/>
        <v/>
      </c>
      <c r="AQ39" s="574">
        <f t="shared" si="15"/>
        <v>0</v>
      </c>
      <c r="AR39" s="574" t="str">
        <f t="shared" si="15"/>
        <v/>
      </c>
      <c r="AS39" s="574" t="str">
        <f t="shared" si="15"/>
        <v/>
      </c>
      <c r="AT39" s="574" t="str">
        <f t="shared" si="15"/>
        <v/>
      </c>
      <c r="AU39" s="574" t="str">
        <f t="shared" si="15"/>
        <v/>
      </c>
      <c r="AV39" s="574" t="str">
        <f t="shared" si="15"/>
        <v/>
      </c>
      <c r="AW39" s="574" t="str">
        <f t="shared" si="15"/>
        <v/>
      </c>
      <c r="AX39" s="574" t="str">
        <f t="shared" si="15"/>
        <v/>
      </c>
      <c r="AY39" s="574" t="str">
        <f t="shared" si="15"/>
        <v/>
      </c>
      <c r="AZ39" s="574" t="str">
        <f t="shared" si="15"/>
        <v/>
      </c>
      <c r="BA39" s="574" t="str">
        <f t="shared" si="15"/>
        <v/>
      </c>
      <c r="BB39" s="574" t="str">
        <f t="shared" si="15"/>
        <v/>
      </c>
      <c r="BC39" s="574" t="str">
        <f t="shared" si="14"/>
        <v/>
      </c>
      <c r="BD39" s="574" t="str">
        <f t="shared" si="14"/>
        <v/>
      </c>
      <c r="BE39" s="574" t="str">
        <f t="shared" si="14"/>
        <v/>
      </c>
      <c r="BF39" s="574" t="str">
        <f t="shared" si="8"/>
        <v/>
      </c>
      <c r="BG39" s="574" t="str">
        <f t="shared" si="8"/>
        <v/>
      </c>
      <c r="BH39" s="574" t="str">
        <f t="shared" si="8"/>
        <v/>
      </c>
      <c r="BI39" s="510">
        <f t="shared" si="1"/>
        <v>33</v>
      </c>
      <c r="BJ39" s="631">
        <f t="shared" si="3"/>
        <v>0</v>
      </c>
      <c r="BK39" s="632" t="str">
        <f t="shared" si="4"/>
        <v>&gt;200 ML to &lt;=1000 ML Clean, Lined, Pasture</v>
      </c>
    </row>
    <row r="40" spans="1:63">
      <c r="A40" s="532"/>
      <c r="B40" s="562">
        <f t="shared" si="5"/>
        <v>32</v>
      </c>
      <c r="C40" s="138"/>
      <c r="D40" s="591"/>
      <c r="E40" s="57" t="str">
        <f t="shared" si="11"/>
        <v>Clean</v>
      </c>
      <c r="F40" s="57" t="s">
        <v>189</v>
      </c>
      <c r="G40" s="57" t="str">
        <f t="shared" si="6"/>
        <v>Native</v>
      </c>
      <c r="H40" s="57" t="str">
        <f t="shared" si="10"/>
        <v>Lined</v>
      </c>
      <c r="I40" s="57" t="s">
        <v>1990</v>
      </c>
      <c r="J40" s="67"/>
      <c r="K40" s="55"/>
      <c r="L40" s="494"/>
      <c r="M40" s="574" t="str">
        <f t="shared" si="13"/>
        <v/>
      </c>
      <c r="N40" s="574" t="str">
        <f t="shared" si="13"/>
        <v/>
      </c>
      <c r="O40" s="574" t="str">
        <f t="shared" si="13"/>
        <v/>
      </c>
      <c r="P40" s="574" t="str">
        <f t="shared" si="13"/>
        <v/>
      </c>
      <c r="Q40" s="574" t="str">
        <f t="shared" si="13"/>
        <v/>
      </c>
      <c r="R40" s="574" t="str">
        <f t="shared" si="13"/>
        <v/>
      </c>
      <c r="S40" s="574" t="str">
        <f t="shared" si="13"/>
        <v/>
      </c>
      <c r="T40" s="574" t="str">
        <f t="shared" si="13"/>
        <v/>
      </c>
      <c r="U40" s="574" t="str">
        <f t="shared" si="13"/>
        <v/>
      </c>
      <c r="V40" s="574" t="str">
        <f t="shared" si="13"/>
        <v/>
      </c>
      <c r="W40" s="574" t="str">
        <f t="shared" si="13"/>
        <v/>
      </c>
      <c r="X40" s="574" t="str">
        <f t="shared" si="13"/>
        <v/>
      </c>
      <c r="Y40" s="574" t="str">
        <f t="shared" si="13"/>
        <v/>
      </c>
      <c r="Z40" s="574" t="str">
        <f t="shared" si="13"/>
        <v/>
      </c>
      <c r="AA40" s="574" t="str">
        <f t="shared" si="13"/>
        <v/>
      </c>
      <c r="AB40" s="574" t="str">
        <f t="shared" si="13"/>
        <v/>
      </c>
      <c r="AC40" s="574" t="str">
        <f t="shared" si="12"/>
        <v/>
      </c>
      <c r="AD40" s="574" t="str">
        <f t="shared" si="12"/>
        <v/>
      </c>
      <c r="AE40" s="574" t="str">
        <f t="shared" si="12"/>
        <v/>
      </c>
      <c r="AF40" s="574" t="str">
        <f t="shared" si="12"/>
        <v/>
      </c>
      <c r="AG40" s="574" t="str">
        <f t="shared" si="12"/>
        <v/>
      </c>
      <c r="AH40" s="574" t="str">
        <f t="shared" si="12"/>
        <v/>
      </c>
      <c r="AI40" s="574" t="str">
        <f t="shared" si="12"/>
        <v/>
      </c>
      <c r="AJ40" s="574" t="str">
        <f t="shared" si="12"/>
        <v/>
      </c>
      <c r="AK40" s="574" t="str">
        <f t="shared" si="12"/>
        <v/>
      </c>
      <c r="AL40" s="574" t="str">
        <f t="shared" si="12"/>
        <v/>
      </c>
      <c r="AM40" s="574" t="str">
        <f t="shared" si="15"/>
        <v/>
      </c>
      <c r="AN40" s="574" t="str">
        <f t="shared" si="15"/>
        <v/>
      </c>
      <c r="AO40" s="574" t="str">
        <f t="shared" si="15"/>
        <v/>
      </c>
      <c r="AP40" s="574" t="str">
        <f t="shared" si="15"/>
        <v/>
      </c>
      <c r="AQ40" s="574" t="str">
        <f t="shared" si="15"/>
        <v/>
      </c>
      <c r="AR40" s="574">
        <f t="shared" si="15"/>
        <v>0</v>
      </c>
      <c r="AS40" s="574" t="str">
        <f t="shared" si="15"/>
        <v/>
      </c>
      <c r="AT40" s="574" t="str">
        <f t="shared" si="15"/>
        <v/>
      </c>
      <c r="AU40" s="574" t="str">
        <f t="shared" si="15"/>
        <v/>
      </c>
      <c r="AV40" s="574" t="str">
        <f t="shared" si="15"/>
        <v/>
      </c>
      <c r="AW40" s="574" t="str">
        <f t="shared" si="15"/>
        <v/>
      </c>
      <c r="AX40" s="574" t="str">
        <f t="shared" si="15"/>
        <v/>
      </c>
      <c r="AY40" s="574" t="str">
        <f t="shared" si="15"/>
        <v/>
      </c>
      <c r="AZ40" s="574" t="str">
        <f t="shared" si="15"/>
        <v/>
      </c>
      <c r="BA40" s="574" t="str">
        <f t="shared" si="15"/>
        <v/>
      </c>
      <c r="BB40" s="574" t="str">
        <f t="shared" si="15"/>
        <v/>
      </c>
      <c r="BC40" s="574" t="str">
        <f t="shared" si="14"/>
        <v/>
      </c>
      <c r="BD40" s="574" t="str">
        <f t="shared" si="14"/>
        <v/>
      </c>
      <c r="BE40" s="574" t="str">
        <f t="shared" si="14"/>
        <v/>
      </c>
      <c r="BF40" s="574" t="str">
        <f t="shared" si="8"/>
        <v/>
      </c>
      <c r="BG40" s="574" t="str">
        <f t="shared" si="8"/>
        <v/>
      </c>
      <c r="BH40" s="574" t="str">
        <f t="shared" si="8"/>
        <v/>
      </c>
      <c r="BI40" s="510">
        <f t="shared" si="1"/>
        <v>34</v>
      </c>
      <c r="BJ40" s="631">
        <f t="shared" si="3"/>
        <v>0</v>
      </c>
      <c r="BK40" s="632" t="str">
        <f t="shared" si="4"/>
        <v>&gt;200 ML to &lt;=1000 ML Clean, Lined, Native</v>
      </c>
    </row>
    <row r="41" spans="1:63">
      <c r="A41" s="532"/>
      <c r="B41" s="562">
        <f t="shared" si="5"/>
        <v>33</v>
      </c>
      <c r="C41" s="138"/>
      <c r="D41" s="591"/>
      <c r="E41" s="57" t="str">
        <f t="shared" si="11"/>
        <v>Clean</v>
      </c>
      <c r="F41" s="57" t="s">
        <v>189</v>
      </c>
      <c r="G41" s="57" t="str">
        <f t="shared" si="6"/>
        <v>Arid</v>
      </c>
      <c r="H41" s="57" t="str">
        <f t="shared" si="10"/>
        <v>Lined</v>
      </c>
      <c r="I41" s="57" t="s">
        <v>1990</v>
      </c>
      <c r="J41" s="67"/>
      <c r="K41" s="55"/>
      <c r="L41" s="494"/>
      <c r="M41" s="574" t="str">
        <f t="shared" si="13"/>
        <v/>
      </c>
      <c r="N41" s="574" t="str">
        <f t="shared" si="13"/>
        <v/>
      </c>
      <c r="O41" s="574" t="str">
        <f t="shared" si="13"/>
        <v/>
      </c>
      <c r="P41" s="574" t="str">
        <f t="shared" si="13"/>
        <v/>
      </c>
      <c r="Q41" s="574" t="str">
        <f t="shared" si="13"/>
        <v/>
      </c>
      <c r="R41" s="574" t="str">
        <f t="shared" si="13"/>
        <v/>
      </c>
      <c r="S41" s="574" t="str">
        <f t="shared" si="13"/>
        <v/>
      </c>
      <c r="T41" s="574" t="str">
        <f t="shared" si="13"/>
        <v/>
      </c>
      <c r="U41" s="574" t="str">
        <f t="shared" si="13"/>
        <v/>
      </c>
      <c r="V41" s="574" t="str">
        <f t="shared" si="13"/>
        <v/>
      </c>
      <c r="W41" s="574" t="str">
        <f t="shared" si="13"/>
        <v/>
      </c>
      <c r="X41" s="574" t="str">
        <f t="shared" si="13"/>
        <v/>
      </c>
      <c r="Y41" s="574" t="str">
        <f t="shared" si="13"/>
        <v/>
      </c>
      <c r="Z41" s="574" t="str">
        <f t="shared" si="13"/>
        <v/>
      </c>
      <c r="AA41" s="574" t="str">
        <f t="shared" si="13"/>
        <v/>
      </c>
      <c r="AB41" s="574" t="str">
        <f t="shared" si="13"/>
        <v/>
      </c>
      <c r="AC41" s="574" t="str">
        <f t="shared" si="12"/>
        <v/>
      </c>
      <c r="AD41" s="574" t="str">
        <f t="shared" si="12"/>
        <v/>
      </c>
      <c r="AE41" s="574" t="str">
        <f t="shared" si="12"/>
        <v/>
      </c>
      <c r="AF41" s="574" t="str">
        <f t="shared" si="12"/>
        <v/>
      </c>
      <c r="AG41" s="574" t="str">
        <f t="shared" si="12"/>
        <v/>
      </c>
      <c r="AH41" s="574" t="str">
        <f t="shared" si="12"/>
        <v/>
      </c>
      <c r="AI41" s="574" t="str">
        <f t="shared" si="12"/>
        <v/>
      </c>
      <c r="AJ41" s="574" t="str">
        <f t="shared" si="12"/>
        <v/>
      </c>
      <c r="AK41" s="574" t="str">
        <f t="shared" si="12"/>
        <v/>
      </c>
      <c r="AL41" s="574" t="str">
        <f t="shared" si="12"/>
        <v/>
      </c>
      <c r="AM41" s="574" t="str">
        <f t="shared" si="15"/>
        <v/>
      </c>
      <c r="AN41" s="574" t="str">
        <f t="shared" si="15"/>
        <v/>
      </c>
      <c r="AO41" s="574" t="str">
        <f t="shared" si="15"/>
        <v/>
      </c>
      <c r="AP41" s="574" t="str">
        <f t="shared" si="15"/>
        <v/>
      </c>
      <c r="AQ41" s="574" t="str">
        <f t="shared" si="15"/>
        <v/>
      </c>
      <c r="AR41" s="574" t="str">
        <f t="shared" si="15"/>
        <v/>
      </c>
      <c r="AS41" s="574">
        <f t="shared" si="15"/>
        <v>0</v>
      </c>
      <c r="AT41" s="574" t="str">
        <f t="shared" si="15"/>
        <v/>
      </c>
      <c r="AU41" s="574" t="str">
        <f t="shared" si="15"/>
        <v/>
      </c>
      <c r="AV41" s="574" t="str">
        <f t="shared" si="15"/>
        <v/>
      </c>
      <c r="AW41" s="574" t="str">
        <f t="shared" si="15"/>
        <v/>
      </c>
      <c r="AX41" s="574" t="str">
        <f t="shared" si="15"/>
        <v/>
      </c>
      <c r="AY41" s="574" t="str">
        <f t="shared" si="15"/>
        <v/>
      </c>
      <c r="AZ41" s="574" t="str">
        <f t="shared" si="15"/>
        <v/>
      </c>
      <c r="BA41" s="574" t="str">
        <f t="shared" si="15"/>
        <v/>
      </c>
      <c r="BB41" s="574" t="str">
        <f t="shared" si="15"/>
        <v/>
      </c>
      <c r="BC41" s="574" t="str">
        <f t="shared" si="14"/>
        <v/>
      </c>
      <c r="BD41" s="574" t="str">
        <f t="shared" si="14"/>
        <v/>
      </c>
      <c r="BE41" s="574" t="str">
        <f t="shared" si="14"/>
        <v/>
      </c>
      <c r="BF41" s="574" t="str">
        <f t="shared" si="8"/>
        <v/>
      </c>
      <c r="BG41" s="574" t="str">
        <f t="shared" si="8"/>
        <v/>
      </c>
      <c r="BH41" s="574" t="str">
        <f t="shared" si="8"/>
        <v/>
      </c>
      <c r="BI41" s="510">
        <f t="shared" si="1"/>
        <v>35</v>
      </c>
      <c r="BJ41" s="631">
        <f t="shared" si="3"/>
        <v>0</v>
      </c>
      <c r="BK41" s="632" t="str">
        <f t="shared" si="4"/>
        <v>&gt;200 ML to &lt;=1000 ML Clean, Lined, Arid</v>
      </c>
    </row>
    <row r="42" spans="1:63">
      <c r="A42" s="532"/>
      <c r="B42" s="562">
        <f t="shared" si="5"/>
        <v>34</v>
      </c>
      <c r="C42" s="138"/>
      <c r="D42" s="591"/>
      <c r="E42" s="57" t="str">
        <f t="shared" si="11"/>
        <v>Clean</v>
      </c>
      <c r="F42" s="57" t="s">
        <v>189</v>
      </c>
      <c r="G42" s="57" t="str">
        <f t="shared" si="6"/>
        <v>Pasture</v>
      </c>
      <c r="H42" s="57" t="str">
        <f t="shared" si="10"/>
        <v>Unlined</v>
      </c>
      <c r="I42" s="57" t="s">
        <v>1990</v>
      </c>
      <c r="J42" s="67"/>
      <c r="K42" s="55"/>
      <c r="L42" s="494"/>
      <c r="M42" s="574" t="str">
        <f t="shared" si="13"/>
        <v/>
      </c>
      <c r="N42" s="574" t="str">
        <f t="shared" si="13"/>
        <v/>
      </c>
      <c r="O42" s="574" t="str">
        <f t="shared" si="13"/>
        <v/>
      </c>
      <c r="P42" s="574" t="str">
        <f t="shared" si="13"/>
        <v/>
      </c>
      <c r="Q42" s="574" t="str">
        <f t="shared" si="13"/>
        <v/>
      </c>
      <c r="R42" s="574" t="str">
        <f t="shared" si="13"/>
        <v/>
      </c>
      <c r="S42" s="574" t="str">
        <f t="shared" si="13"/>
        <v/>
      </c>
      <c r="T42" s="574" t="str">
        <f t="shared" si="13"/>
        <v/>
      </c>
      <c r="U42" s="574" t="str">
        <f t="shared" si="13"/>
        <v/>
      </c>
      <c r="V42" s="574" t="str">
        <f t="shared" si="13"/>
        <v/>
      </c>
      <c r="W42" s="574" t="str">
        <f t="shared" si="13"/>
        <v/>
      </c>
      <c r="X42" s="574" t="str">
        <f t="shared" si="13"/>
        <v/>
      </c>
      <c r="Y42" s="574" t="str">
        <f t="shared" si="13"/>
        <v/>
      </c>
      <c r="Z42" s="574" t="str">
        <f t="shared" si="13"/>
        <v/>
      </c>
      <c r="AA42" s="574" t="str">
        <f t="shared" si="13"/>
        <v/>
      </c>
      <c r="AB42" s="574" t="str">
        <f t="shared" si="13"/>
        <v/>
      </c>
      <c r="AC42" s="574" t="str">
        <f t="shared" si="12"/>
        <v/>
      </c>
      <c r="AD42" s="574" t="str">
        <f t="shared" si="12"/>
        <v/>
      </c>
      <c r="AE42" s="574" t="str">
        <f t="shared" si="12"/>
        <v/>
      </c>
      <c r="AF42" s="574" t="str">
        <f t="shared" si="12"/>
        <v/>
      </c>
      <c r="AG42" s="574" t="str">
        <f t="shared" si="12"/>
        <v/>
      </c>
      <c r="AH42" s="574" t="str">
        <f t="shared" si="12"/>
        <v/>
      </c>
      <c r="AI42" s="574" t="str">
        <f t="shared" si="12"/>
        <v/>
      </c>
      <c r="AJ42" s="574" t="str">
        <f t="shared" si="12"/>
        <v/>
      </c>
      <c r="AK42" s="574" t="str">
        <f t="shared" si="12"/>
        <v/>
      </c>
      <c r="AL42" s="574" t="str">
        <f t="shared" si="12"/>
        <v/>
      </c>
      <c r="AM42" s="574" t="str">
        <f t="shared" si="15"/>
        <v/>
      </c>
      <c r="AN42" s="574" t="str">
        <f t="shared" si="15"/>
        <v/>
      </c>
      <c r="AO42" s="574" t="str">
        <f t="shared" si="15"/>
        <v/>
      </c>
      <c r="AP42" s="574" t="str">
        <f t="shared" si="15"/>
        <v/>
      </c>
      <c r="AQ42" s="574" t="str">
        <f t="shared" si="15"/>
        <v/>
      </c>
      <c r="AR42" s="574" t="str">
        <f t="shared" si="15"/>
        <v/>
      </c>
      <c r="AS42" s="574" t="str">
        <f t="shared" si="15"/>
        <v/>
      </c>
      <c r="AT42" s="574">
        <f t="shared" si="15"/>
        <v>0</v>
      </c>
      <c r="AU42" s="574" t="str">
        <f t="shared" si="15"/>
        <v/>
      </c>
      <c r="AV42" s="574" t="str">
        <f t="shared" si="15"/>
        <v/>
      </c>
      <c r="AW42" s="574" t="str">
        <f t="shared" si="15"/>
        <v/>
      </c>
      <c r="AX42" s="574" t="str">
        <f t="shared" si="15"/>
        <v/>
      </c>
      <c r="AY42" s="574" t="str">
        <f t="shared" si="15"/>
        <v/>
      </c>
      <c r="AZ42" s="574" t="str">
        <f t="shared" si="15"/>
        <v/>
      </c>
      <c r="BA42" s="574" t="str">
        <f t="shared" si="15"/>
        <v/>
      </c>
      <c r="BB42" s="574" t="str">
        <f t="shared" si="15"/>
        <v/>
      </c>
      <c r="BC42" s="574" t="str">
        <f t="shared" si="14"/>
        <v/>
      </c>
      <c r="BD42" s="574" t="str">
        <f t="shared" si="14"/>
        <v/>
      </c>
      <c r="BE42" s="574" t="str">
        <f t="shared" si="14"/>
        <v/>
      </c>
      <c r="BF42" s="574" t="str">
        <f t="shared" si="8"/>
        <v/>
      </c>
      <c r="BG42" s="574" t="str">
        <f t="shared" si="8"/>
        <v/>
      </c>
      <c r="BH42" s="574" t="str">
        <f t="shared" si="8"/>
        <v/>
      </c>
      <c r="BI42" s="510">
        <f t="shared" si="1"/>
        <v>36</v>
      </c>
      <c r="BJ42" s="631">
        <f t="shared" si="3"/>
        <v>0</v>
      </c>
      <c r="BK42" s="632" t="str">
        <f t="shared" si="4"/>
        <v>&gt;200 ML to &lt;=1000 ML Clean, Unlined, Pasture</v>
      </c>
    </row>
    <row r="43" spans="1:63">
      <c r="A43" s="532"/>
      <c r="B43" s="562">
        <f t="shared" si="5"/>
        <v>35</v>
      </c>
      <c r="C43" s="138"/>
      <c r="D43" s="591"/>
      <c r="E43" s="57" t="str">
        <f t="shared" si="11"/>
        <v>Clean</v>
      </c>
      <c r="F43" s="57" t="s">
        <v>189</v>
      </c>
      <c r="G43" s="57" t="str">
        <f t="shared" si="6"/>
        <v>Native</v>
      </c>
      <c r="H43" s="57" t="str">
        <f t="shared" si="10"/>
        <v>Unlined</v>
      </c>
      <c r="I43" s="57" t="s">
        <v>1990</v>
      </c>
      <c r="J43" s="67"/>
      <c r="K43" s="55"/>
      <c r="L43" s="494"/>
      <c r="M43" s="574" t="str">
        <f t="shared" si="13"/>
        <v/>
      </c>
      <c r="N43" s="574" t="str">
        <f t="shared" si="13"/>
        <v/>
      </c>
      <c r="O43" s="574" t="str">
        <f t="shared" si="13"/>
        <v/>
      </c>
      <c r="P43" s="574" t="str">
        <f t="shared" si="13"/>
        <v/>
      </c>
      <c r="Q43" s="574" t="str">
        <f t="shared" si="13"/>
        <v/>
      </c>
      <c r="R43" s="574" t="str">
        <f t="shared" si="13"/>
        <v/>
      </c>
      <c r="S43" s="574" t="str">
        <f t="shared" si="13"/>
        <v/>
      </c>
      <c r="T43" s="574" t="str">
        <f t="shared" si="13"/>
        <v/>
      </c>
      <c r="U43" s="574" t="str">
        <f t="shared" si="13"/>
        <v/>
      </c>
      <c r="V43" s="574" t="str">
        <f t="shared" si="13"/>
        <v/>
      </c>
      <c r="W43" s="574" t="str">
        <f t="shared" si="13"/>
        <v/>
      </c>
      <c r="X43" s="574" t="str">
        <f t="shared" si="13"/>
        <v/>
      </c>
      <c r="Y43" s="574" t="str">
        <f t="shared" si="13"/>
        <v/>
      </c>
      <c r="Z43" s="574" t="str">
        <f t="shared" si="13"/>
        <v/>
      </c>
      <c r="AA43" s="574" t="str">
        <f t="shared" si="13"/>
        <v/>
      </c>
      <c r="AB43" s="574" t="str">
        <f t="shared" si="13"/>
        <v/>
      </c>
      <c r="AC43" s="574" t="str">
        <f t="shared" si="12"/>
        <v/>
      </c>
      <c r="AD43" s="574" t="str">
        <f t="shared" si="12"/>
        <v/>
      </c>
      <c r="AE43" s="574" t="str">
        <f t="shared" si="12"/>
        <v/>
      </c>
      <c r="AF43" s="574" t="str">
        <f t="shared" si="12"/>
        <v/>
      </c>
      <c r="AG43" s="574" t="str">
        <f t="shared" si="12"/>
        <v/>
      </c>
      <c r="AH43" s="574" t="str">
        <f t="shared" si="12"/>
        <v/>
      </c>
      <c r="AI43" s="574" t="str">
        <f t="shared" si="12"/>
        <v/>
      </c>
      <c r="AJ43" s="574" t="str">
        <f t="shared" si="12"/>
        <v/>
      </c>
      <c r="AK43" s="574" t="str">
        <f t="shared" si="12"/>
        <v/>
      </c>
      <c r="AL43" s="574" t="str">
        <f t="shared" si="12"/>
        <v/>
      </c>
      <c r="AM43" s="574" t="str">
        <f t="shared" si="15"/>
        <v/>
      </c>
      <c r="AN43" s="574" t="str">
        <f t="shared" si="15"/>
        <v/>
      </c>
      <c r="AO43" s="574" t="str">
        <f t="shared" si="15"/>
        <v/>
      </c>
      <c r="AP43" s="574" t="str">
        <f t="shared" si="15"/>
        <v/>
      </c>
      <c r="AQ43" s="574" t="str">
        <f t="shared" si="15"/>
        <v/>
      </c>
      <c r="AR43" s="574" t="str">
        <f t="shared" si="15"/>
        <v/>
      </c>
      <c r="AS43" s="574" t="str">
        <f t="shared" si="15"/>
        <v/>
      </c>
      <c r="AT43" s="574" t="str">
        <f t="shared" si="15"/>
        <v/>
      </c>
      <c r="AU43" s="574">
        <f t="shared" si="15"/>
        <v>0</v>
      </c>
      <c r="AV43" s="574" t="str">
        <f t="shared" si="15"/>
        <v/>
      </c>
      <c r="AW43" s="574" t="str">
        <f t="shared" si="15"/>
        <v/>
      </c>
      <c r="AX43" s="574" t="str">
        <f t="shared" si="15"/>
        <v/>
      </c>
      <c r="AY43" s="574" t="str">
        <f t="shared" si="15"/>
        <v/>
      </c>
      <c r="AZ43" s="574" t="str">
        <f t="shared" si="15"/>
        <v/>
      </c>
      <c r="BA43" s="574" t="str">
        <f t="shared" si="15"/>
        <v/>
      </c>
      <c r="BB43" s="574" t="str">
        <f t="shared" si="15"/>
        <v/>
      </c>
      <c r="BC43" s="574" t="str">
        <f t="shared" si="14"/>
        <v/>
      </c>
      <c r="BD43" s="574" t="str">
        <f t="shared" si="14"/>
        <v/>
      </c>
      <c r="BE43" s="574" t="str">
        <f t="shared" si="14"/>
        <v/>
      </c>
      <c r="BF43" s="574" t="str">
        <f t="shared" si="8"/>
        <v/>
      </c>
      <c r="BG43" s="574" t="str">
        <f t="shared" si="8"/>
        <v/>
      </c>
      <c r="BH43" s="574" t="str">
        <f t="shared" si="8"/>
        <v/>
      </c>
      <c r="BI43" s="510">
        <f t="shared" si="1"/>
        <v>37</v>
      </c>
      <c r="BJ43" s="631">
        <f t="shared" si="3"/>
        <v>0</v>
      </c>
      <c r="BK43" s="632" t="str">
        <f t="shared" si="4"/>
        <v>&gt;200 ML to &lt;=1000 ML Clean, Unlined, Native</v>
      </c>
    </row>
    <row r="44" spans="1:63">
      <c r="A44" s="532"/>
      <c r="B44" s="562">
        <f t="shared" si="5"/>
        <v>36</v>
      </c>
      <c r="C44" s="138"/>
      <c r="D44" s="591"/>
      <c r="E44" s="57" t="str">
        <f t="shared" si="11"/>
        <v>Clean</v>
      </c>
      <c r="F44" s="57" t="s">
        <v>189</v>
      </c>
      <c r="G44" s="57" t="str">
        <f t="shared" si="6"/>
        <v>Arid</v>
      </c>
      <c r="H44" s="57" t="str">
        <f t="shared" si="10"/>
        <v>Unlined</v>
      </c>
      <c r="I44" s="57" t="s">
        <v>1990</v>
      </c>
      <c r="J44" s="67"/>
      <c r="K44" s="55"/>
      <c r="L44" s="494"/>
      <c r="M44" s="574" t="str">
        <f t="shared" si="13"/>
        <v/>
      </c>
      <c r="N44" s="574" t="str">
        <f t="shared" si="13"/>
        <v/>
      </c>
      <c r="O44" s="574" t="str">
        <f t="shared" si="13"/>
        <v/>
      </c>
      <c r="P44" s="574" t="str">
        <f t="shared" si="13"/>
        <v/>
      </c>
      <c r="Q44" s="574" t="str">
        <f t="shared" si="13"/>
        <v/>
      </c>
      <c r="R44" s="574" t="str">
        <f t="shared" si="13"/>
        <v/>
      </c>
      <c r="S44" s="574" t="str">
        <f t="shared" si="13"/>
        <v/>
      </c>
      <c r="T44" s="574" t="str">
        <f t="shared" si="13"/>
        <v/>
      </c>
      <c r="U44" s="574" t="str">
        <f t="shared" si="13"/>
        <v/>
      </c>
      <c r="V44" s="574" t="str">
        <f t="shared" si="13"/>
        <v/>
      </c>
      <c r="W44" s="574" t="str">
        <f t="shared" si="13"/>
        <v/>
      </c>
      <c r="X44" s="574" t="str">
        <f t="shared" si="13"/>
        <v/>
      </c>
      <c r="Y44" s="574" t="str">
        <f t="shared" si="13"/>
        <v/>
      </c>
      <c r="Z44" s="574" t="str">
        <f t="shared" si="13"/>
        <v/>
      </c>
      <c r="AA44" s="574" t="str">
        <f t="shared" si="13"/>
        <v/>
      </c>
      <c r="AB44" s="574" t="str">
        <f t="shared" si="13"/>
        <v/>
      </c>
      <c r="AC44" s="574" t="str">
        <f t="shared" si="12"/>
        <v/>
      </c>
      <c r="AD44" s="574" t="str">
        <f t="shared" si="12"/>
        <v/>
      </c>
      <c r="AE44" s="574" t="str">
        <f t="shared" si="12"/>
        <v/>
      </c>
      <c r="AF44" s="574" t="str">
        <f t="shared" si="12"/>
        <v/>
      </c>
      <c r="AG44" s="574" t="str">
        <f t="shared" si="12"/>
        <v/>
      </c>
      <c r="AH44" s="574" t="str">
        <f t="shared" si="12"/>
        <v/>
      </c>
      <c r="AI44" s="574" t="str">
        <f t="shared" si="12"/>
        <v/>
      </c>
      <c r="AJ44" s="574" t="str">
        <f t="shared" si="12"/>
        <v/>
      </c>
      <c r="AK44" s="574" t="str">
        <f t="shared" si="12"/>
        <v/>
      </c>
      <c r="AL44" s="574" t="str">
        <f t="shared" si="12"/>
        <v/>
      </c>
      <c r="AM44" s="574" t="str">
        <f t="shared" si="15"/>
        <v/>
      </c>
      <c r="AN44" s="574" t="str">
        <f t="shared" si="15"/>
        <v/>
      </c>
      <c r="AO44" s="574" t="str">
        <f t="shared" si="15"/>
        <v/>
      </c>
      <c r="AP44" s="574" t="str">
        <f t="shared" si="15"/>
        <v/>
      </c>
      <c r="AQ44" s="574" t="str">
        <f t="shared" si="15"/>
        <v/>
      </c>
      <c r="AR44" s="574" t="str">
        <f t="shared" si="15"/>
        <v/>
      </c>
      <c r="AS44" s="574" t="str">
        <f t="shared" si="15"/>
        <v/>
      </c>
      <c r="AT44" s="574" t="str">
        <f t="shared" si="15"/>
        <v/>
      </c>
      <c r="AU44" s="574" t="str">
        <f t="shared" si="15"/>
        <v/>
      </c>
      <c r="AV44" s="574">
        <f t="shared" si="15"/>
        <v>0</v>
      </c>
      <c r="AW44" s="574" t="str">
        <f t="shared" si="15"/>
        <v/>
      </c>
      <c r="AX44" s="574" t="str">
        <f t="shared" si="15"/>
        <v/>
      </c>
      <c r="AY44" s="574" t="str">
        <f t="shared" si="15"/>
        <v/>
      </c>
      <c r="AZ44" s="574" t="str">
        <f t="shared" si="15"/>
        <v/>
      </c>
      <c r="BA44" s="574" t="str">
        <f t="shared" si="15"/>
        <v/>
      </c>
      <c r="BB44" s="574" t="str">
        <f t="shared" si="15"/>
        <v/>
      </c>
      <c r="BC44" s="574" t="str">
        <f t="shared" si="14"/>
        <v/>
      </c>
      <c r="BD44" s="574" t="str">
        <f t="shared" si="14"/>
        <v/>
      </c>
      <c r="BE44" s="574" t="str">
        <f t="shared" si="14"/>
        <v/>
      </c>
      <c r="BF44" s="574" t="str">
        <f t="shared" si="8"/>
        <v/>
      </c>
      <c r="BG44" s="574" t="str">
        <f t="shared" si="8"/>
        <v/>
      </c>
      <c r="BH44" s="574" t="str">
        <f t="shared" si="8"/>
        <v/>
      </c>
      <c r="BI44" s="510">
        <f t="shared" si="1"/>
        <v>38</v>
      </c>
      <c r="BJ44" s="631">
        <f t="shared" si="3"/>
        <v>0</v>
      </c>
      <c r="BK44" s="632" t="str">
        <f t="shared" si="4"/>
        <v>&gt;200 ML to &lt;=1000 ML Clean, Unlined, Arid</v>
      </c>
    </row>
    <row r="45" spans="1:63">
      <c r="A45" s="532"/>
      <c r="B45" s="562">
        <f t="shared" si="5"/>
        <v>37</v>
      </c>
      <c r="C45" s="138"/>
      <c r="D45" s="591"/>
      <c r="E45" s="57" t="str">
        <f t="shared" si="11"/>
        <v>Contaminated</v>
      </c>
      <c r="F45" s="57" t="s">
        <v>190</v>
      </c>
      <c r="G45" s="57" t="str">
        <f t="shared" si="6"/>
        <v>Pasture</v>
      </c>
      <c r="H45" s="57" t="str">
        <f t="shared" si="10"/>
        <v>Lined</v>
      </c>
      <c r="I45" s="57" t="s">
        <v>1990</v>
      </c>
      <c r="J45" s="67"/>
      <c r="K45" s="55"/>
      <c r="L45" s="494"/>
      <c r="M45" s="574" t="str">
        <f t="shared" si="13"/>
        <v/>
      </c>
      <c r="N45" s="574" t="str">
        <f t="shared" si="13"/>
        <v/>
      </c>
      <c r="O45" s="574" t="str">
        <f t="shared" si="13"/>
        <v/>
      </c>
      <c r="P45" s="574" t="str">
        <f t="shared" si="13"/>
        <v/>
      </c>
      <c r="Q45" s="574" t="str">
        <f t="shared" si="13"/>
        <v/>
      </c>
      <c r="R45" s="574" t="str">
        <f t="shared" si="13"/>
        <v/>
      </c>
      <c r="S45" s="574" t="str">
        <f t="shared" si="13"/>
        <v/>
      </c>
      <c r="T45" s="574" t="str">
        <f t="shared" si="13"/>
        <v/>
      </c>
      <c r="U45" s="574" t="str">
        <f t="shared" si="13"/>
        <v/>
      </c>
      <c r="V45" s="574" t="str">
        <f t="shared" si="13"/>
        <v/>
      </c>
      <c r="W45" s="574" t="str">
        <f t="shared" si="13"/>
        <v/>
      </c>
      <c r="X45" s="574" t="str">
        <f t="shared" si="13"/>
        <v/>
      </c>
      <c r="Y45" s="574" t="str">
        <f t="shared" si="13"/>
        <v/>
      </c>
      <c r="Z45" s="574" t="str">
        <f t="shared" si="13"/>
        <v/>
      </c>
      <c r="AA45" s="574" t="str">
        <f t="shared" si="13"/>
        <v/>
      </c>
      <c r="AB45" s="574" t="str">
        <f t="shared" si="13"/>
        <v/>
      </c>
      <c r="AC45" s="574" t="str">
        <f t="shared" si="12"/>
        <v/>
      </c>
      <c r="AD45" s="574" t="str">
        <f t="shared" si="12"/>
        <v/>
      </c>
      <c r="AE45" s="574" t="str">
        <f t="shared" si="12"/>
        <v/>
      </c>
      <c r="AF45" s="574" t="str">
        <f t="shared" si="12"/>
        <v/>
      </c>
      <c r="AG45" s="574" t="str">
        <f t="shared" si="12"/>
        <v/>
      </c>
      <c r="AH45" s="574" t="str">
        <f t="shared" si="12"/>
        <v/>
      </c>
      <c r="AI45" s="574" t="str">
        <f t="shared" si="12"/>
        <v/>
      </c>
      <c r="AJ45" s="574" t="str">
        <f t="shared" si="12"/>
        <v/>
      </c>
      <c r="AK45" s="574" t="str">
        <f t="shared" si="12"/>
        <v/>
      </c>
      <c r="AL45" s="574" t="str">
        <f t="shared" si="12"/>
        <v/>
      </c>
      <c r="AM45" s="574" t="str">
        <f t="shared" si="15"/>
        <v/>
      </c>
      <c r="AN45" s="574" t="str">
        <f t="shared" si="15"/>
        <v/>
      </c>
      <c r="AO45" s="574" t="str">
        <f t="shared" si="15"/>
        <v/>
      </c>
      <c r="AP45" s="574" t="str">
        <f t="shared" si="15"/>
        <v/>
      </c>
      <c r="AQ45" s="574" t="str">
        <f t="shared" si="15"/>
        <v/>
      </c>
      <c r="AR45" s="574" t="str">
        <f t="shared" si="15"/>
        <v/>
      </c>
      <c r="AS45" s="574" t="str">
        <f t="shared" si="15"/>
        <v/>
      </c>
      <c r="AT45" s="574" t="str">
        <f t="shared" si="15"/>
        <v/>
      </c>
      <c r="AU45" s="574" t="str">
        <f t="shared" si="15"/>
        <v/>
      </c>
      <c r="AV45" s="574" t="str">
        <f t="shared" si="15"/>
        <v/>
      </c>
      <c r="AW45" s="574">
        <f t="shared" si="15"/>
        <v>0</v>
      </c>
      <c r="AX45" s="574" t="str">
        <f t="shared" si="15"/>
        <v/>
      </c>
      <c r="AY45" s="574" t="str">
        <f t="shared" si="15"/>
        <v/>
      </c>
      <c r="AZ45" s="574" t="str">
        <f t="shared" si="15"/>
        <v/>
      </c>
      <c r="BA45" s="574" t="str">
        <f t="shared" si="15"/>
        <v/>
      </c>
      <c r="BB45" s="574" t="str">
        <f t="shared" si="15"/>
        <v/>
      </c>
      <c r="BC45" s="574" t="str">
        <f t="shared" si="14"/>
        <v/>
      </c>
      <c r="BD45" s="574" t="str">
        <f t="shared" si="14"/>
        <v/>
      </c>
      <c r="BE45" s="574" t="str">
        <f t="shared" si="14"/>
        <v/>
      </c>
      <c r="BF45" s="574" t="str">
        <f t="shared" si="8"/>
        <v/>
      </c>
      <c r="BG45" s="574" t="str">
        <f t="shared" si="8"/>
        <v/>
      </c>
      <c r="BH45" s="574" t="str">
        <f t="shared" si="8"/>
        <v/>
      </c>
      <c r="BI45" s="510">
        <f t="shared" si="1"/>
        <v>39</v>
      </c>
      <c r="BJ45" s="631">
        <f t="shared" si="3"/>
        <v>0</v>
      </c>
      <c r="BK45" s="632" t="str">
        <f t="shared" si="4"/>
        <v>&gt;1000 to &lt;=5000 ML Contaminated, Lined, Pasture</v>
      </c>
    </row>
    <row r="46" spans="1:63">
      <c r="A46" s="532"/>
      <c r="B46" s="562">
        <f t="shared" si="5"/>
        <v>38</v>
      </c>
      <c r="C46" s="138"/>
      <c r="D46" s="591"/>
      <c r="E46" s="57" t="str">
        <f t="shared" si="11"/>
        <v>Contaminated</v>
      </c>
      <c r="F46" s="57" t="s">
        <v>190</v>
      </c>
      <c r="G46" s="57" t="str">
        <f t="shared" si="6"/>
        <v>Native</v>
      </c>
      <c r="H46" s="57" t="str">
        <f t="shared" si="10"/>
        <v>Lined</v>
      </c>
      <c r="I46" s="57" t="s">
        <v>1990</v>
      </c>
      <c r="J46" s="67"/>
      <c r="K46" s="55"/>
      <c r="L46" s="494"/>
      <c r="M46" s="574" t="str">
        <f t="shared" si="13"/>
        <v/>
      </c>
      <c r="N46" s="574" t="str">
        <f t="shared" si="13"/>
        <v/>
      </c>
      <c r="O46" s="574" t="str">
        <f t="shared" si="13"/>
        <v/>
      </c>
      <c r="P46" s="574" t="str">
        <f t="shared" si="13"/>
        <v/>
      </c>
      <c r="Q46" s="574" t="str">
        <f t="shared" si="13"/>
        <v/>
      </c>
      <c r="R46" s="574" t="str">
        <f t="shared" si="13"/>
        <v/>
      </c>
      <c r="S46" s="574" t="str">
        <f t="shared" si="13"/>
        <v/>
      </c>
      <c r="T46" s="574" t="str">
        <f t="shared" si="13"/>
        <v/>
      </c>
      <c r="U46" s="574" t="str">
        <f t="shared" si="13"/>
        <v/>
      </c>
      <c r="V46" s="574" t="str">
        <f t="shared" si="13"/>
        <v/>
      </c>
      <c r="W46" s="574" t="str">
        <f t="shared" si="13"/>
        <v/>
      </c>
      <c r="X46" s="574" t="str">
        <f t="shared" si="13"/>
        <v/>
      </c>
      <c r="Y46" s="574" t="str">
        <f t="shared" si="13"/>
        <v/>
      </c>
      <c r="Z46" s="574" t="str">
        <f t="shared" si="13"/>
        <v/>
      </c>
      <c r="AA46" s="574" t="str">
        <f t="shared" si="13"/>
        <v/>
      </c>
      <c r="AB46" s="574" t="str">
        <f t="shared" ref="AB46:AQ61" si="16">IF($BK46=AB$7,$K46,"")</f>
        <v/>
      </c>
      <c r="AC46" s="574" t="str">
        <f t="shared" si="16"/>
        <v/>
      </c>
      <c r="AD46" s="574" t="str">
        <f t="shared" si="16"/>
        <v/>
      </c>
      <c r="AE46" s="574" t="str">
        <f t="shared" si="16"/>
        <v/>
      </c>
      <c r="AF46" s="574" t="str">
        <f t="shared" si="16"/>
        <v/>
      </c>
      <c r="AG46" s="574" t="str">
        <f t="shared" si="16"/>
        <v/>
      </c>
      <c r="AH46" s="574" t="str">
        <f t="shared" si="16"/>
        <v/>
      </c>
      <c r="AI46" s="574" t="str">
        <f t="shared" si="16"/>
        <v/>
      </c>
      <c r="AJ46" s="574" t="str">
        <f t="shared" si="16"/>
        <v/>
      </c>
      <c r="AK46" s="574" t="str">
        <f t="shared" si="16"/>
        <v/>
      </c>
      <c r="AL46" s="574" t="str">
        <f t="shared" si="16"/>
        <v/>
      </c>
      <c r="AM46" s="574" t="str">
        <f t="shared" si="16"/>
        <v/>
      </c>
      <c r="AN46" s="574" t="str">
        <f t="shared" si="16"/>
        <v/>
      </c>
      <c r="AO46" s="574" t="str">
        <f t="shared" si="16"/>
        <v/>
      </c>
      <c r="AP46" s="574" t="str">
        <f t="shared" si="16"/>
        <v/>
      </c>
      <c r="AQ46" s="574" t="str">
        <f t="shared" si="16"/>
        <v/>
      </c>
      <c r="AR46" s="574" t="str">
        <f t="shared" si="15"/>
        <v/>
      </c>
      <c r="AS46" s="574" t="str">
        <f t="shared" si="15"/>
        <v/>
      </c>
      <c r="AT46" s="574" t="str">
        <f t="shared" si="15"/>
        <v/>
      </c>
      <c r="AU46" s="574" t="str">
        <f t="shared" si="15"/>
        <v/>
      </c>
      <c r="AV46" s="574" t="str">
        <f t="shared" si="15"/>
        <v/>
      </c>
      <c r="AW46" s="574" t="str">
        <f t="shared" si="15"/>
        <v/>
      </c>
      <c r="AX46" s="574">
        <f t="shared" si="15"/>
        <v>0</v>
      </c>
      <c r="AY46" s="574" t="str">
        <f t="shared" si="15"/>
        <v/>
      </c>
      <c r="AZ46" s="574" t="str">
        <f t="shared" si="15"/>
        <v/>
      </c>
      <c r="BA46" s="574" t="str">
        <f t="shared" si="15"/>
        <v/>
      </c>
      <c r="BB46" s="574" t="str">
        <f t="shared" si="15"/>
        <v/>
      </c>
      <c r="BC46" s="574" t="str">
        <f t="shared" si="14"/>
        <v/>
      </c>
      <c r="BD46" s="574" t="str">
        <f t="shared" si="14"/>
        <v/>
      </c>
      <c r="BE46" s="574" t="str">
        <f t="shared" si="14"/>
        <v/>
      </c>
      <c r="BF46" s="574" t="str">
        <f t="shared" si="8"/>
        <v/>
      </c>
      <c r="BG46" s="574" t="str">
        <f t="shared" si="8"/>
        <v/>
      </c>
      <c r="BH46" s="574" t="str">
        <f t="shared" si="8"/>
        <v/>
      </c>
      <c r="BI46" s="510">
        <f t="shared" si="1"/>
        <v>40</v>
      </c>
      <c r="BJ46" s="631">
        <f t="shared" si="3"/>
        <v>0</v>
      </c>
      <c r="BK46" s="632" t="str">
        <f t="shared" si="4"/>
        <v>&gt;1000 to &lt;=5000 ML Contaminated, Lined, Native</v>
      </c>
    </row>
    <row r="47" spans="1:63">
      <c r="A47" s="532"/>
      <c r="B47" s="562">
        <f t="shared" si="5"/>
        <v>39</v>
      </c>
      <c r="C47" s="138"/>
      <c r="D47" s="591"/>
      <c r="E47" s="57" t="str">
        <f t="shared" si="11"/>
        <v>Contaminated</v>
      </c>
      <c r="F47" s="57" t="s">
        <v>190</v>
      </c>
      <c r="G47" s="57" t="str">
        <f t="shared" si="6"/>
        <v>Arid</v>
      </c>
      <c r="H47" s="57" t="str">
        <f t="shared" si="10"/>
        <v>Lined</v>
      </c>
      <c r="I47" s="57" t="s">
        <v>1990</v>
      </c>
      <c r="J47" s="67"/>
      <c r="K47" s="55"/>
      <c r="L47" s="494"/>
      <c r="M47" s="574" t="str">
        <f t="shared" ref="M47:AB62" si="17">IF($BK47=M$7,$K47,"")</f>
        <v/>
      </c>
      <c r="N47" s="574" t="str">
        <f t="shared" si="17"/>
        <v/>
      </c>
      <c r="O47" s="574" t="str">
        <f t="shared" si="17"/>
        <v/>
      </c>
      <c r="P47" s="574" t="str">
        <f t="shared" si="17"/>
        <v/>
      </c>
      <c r="Q47" s="574" t="str">
        <f t="shared" si="17"/>
        <v/>
      </c>
      <c r="R47" s="574" t="str">
        <f t="shared" si="17"/>
        <v/>
      </c>
      <c r="S47" s="574" t="str">
        <f t="shared" si="17"/>
        <v/>
      </c>
      <c r="T47" s="574" t="str">
        <f t="shared" si="17"/>
        <v/>
      </c>
      <c r="U47" s="574" t="str">
        <f t="shared" si="17"/>
        <v/>
      </c>
      <c r="V47" s="574" t="str">
        <f t="shared" si="17"/>
        <v/>
      </c>
      <c r="W47" s="574" t="str">
        <f t="shared" si="17"/>
        <v/>
      </c>
      <c r="X47" s="574" t="str">
        <f t="shared" si="17"/>
        <v/>
      </c>
      <c r="Y47" s="574" t="str">
        <f t="shared" si="17"/>
        <v/>
      </c>
      <c r="Z47" s="574" t="str">
        <f t="shared" si="17"/>
        <v/>
      </c>
      <c r="AA47" s="574" t="str">
        <f t="shared" si="17"/>
        <v/>
      </c>
      <c r="AB47" s="574" t="str">
        <f t="shared" si="17"/>
        <v/>
      </c>
      <c r="AC47" s="574" t="str">
        <f t="shared" si="16"/>
        <v/>
      </c>
      <c r="AD47" s="574" t="str">
        <f t="shared" si="16"/>
        <v/>
      </c>
      <c r="AE47" s="574" t="str">
        <f t="shared" si="16"/>
        <v/>
      </c>
      <c r="AF47" s="574" t="str">
        <f t="shared" si="16"/>
        <v/>
      </c>
      <c r="AG47" s="574" t="str">
        <f t="shared" si="16"/>
        <v/>
      </c>
      <c r="AH47" s="574" t="str">
        <f t="shared" si="16"/>
        <v/>
      </c>
      <c r="AI47" s="574" t="str">
        <f t="shared" si="16"/>
        <v/>
      </c>
      <c r="AJ47" s="574" t="str">
        <f t="shared" si="16"/>
        <v/>
      </c>
      <c r="AK47" s="574" t="str">
        <f t="shared" si="16"/>
        <v/>
      </c>
      <c r="AL47" s="574" t="str">
        <f t="shared" si="16"/>
        <v/>
      </c>
      <c r="AM47" s="574" t="str">
        <f t="shared" si="16"/>
        <v/>
      </c>
      <c r="AN47" s="574" t="str">
        <f t="shared" si="16"/>
        <v/>
      </c>
      <c r="AO47" s="574" t="str">
        <f t="shared" si="16"/>
        <v/>
      </c>
      <c r="AP47" s="574" t="str">
        <f t="shared" si="16"/>
        <v/>
      </c>
      <c r="AQ47" s="574" t="str">
        <f t="shared" si="16"/>
        <v/>
      </c>
      <c r="AR47" s="574" t="str">
        <f t="shared" si="15"/>
        <v/>
      </c>
      <c r="AS47" s="574" t="str">
        <f t="shared" si="15"/>
        <v/>
      </c>
      <c r="AT47" s="574" t="str">
        <f t="shared" si="15"/>
        <v/>
      </c>
      <c r="AU47" s="574" t="str">
        <f t="shared" si="15"/>
        <v/>
      </c>
      <c r="AV47" s="574" t="str">
        <f t="shared" si="15"/>
        <v/>
      </c>
      <c r="AW47" s="574" t="str">
        <f t="shared" si="15"/>
        <v/>
      </c>
      <c r="AX47" s="574" t="str">
        <f t="shared" si="15"/>
        <v/>
      </c>
      <c r="AY47" s="574">
        <f t="shared" si="15"/>
        <v>0</v>
      </c>
      <c r="AZ47" s="574" t="str">
        <f t="shared" si="15"/>
        <v/>
      </c>
      <c r="BA47" s="574" t="str">
        <f t="shared" si="15"/>
        <v/>
      </c>
      <c r="BB47" s="574" t="str">
        <f t="shared" si="15"/>
        <v/>
      </c>
      <c r="BC47" s="574" t="str">
        <f t="shared" si="14"/>
        <v/>
      </c>
      <c r="BD47" s="574" t="str">
        <f t="shared" si="14"/>
        <v/>
      </c>
      <c r="BE47" s="574" t="str">
        <f t="shared" si="14"/>
        <v/>
      </c>
      <c r="BF47" s="574" t="str">
        <f t="shared" si="8"/>
        <v/>
      </c>
      <c r="BG47" s="574" t="str">
        <f t="shared" si="8"/>
        <v/>
      </c>
      <c r="BH47" s="574" t="str">
        <f t="shared" si="8"/>
        <v/>
      </c>
      <c r="BI47" s="510">
        <f t="shared" si="1"/>
        <v>41</v>
      </c>
      <c r="BJ47" s="631">
        <f t="shared" si="3"/>
        <v>0</v>
      </c>
      <c r="BK47" s="632" t="str">
        <f t="shared" si="4"/>
        <v>&gt;1000 to &lt;=5000 ML Contaminated, Lined, Arid</v>
      </c>
    </row>
    <row r="48" spans="1:63">
      <c r="A48" s="532"/>
      <c r="B48" s="562">
        <f t="shared" si="5"/>
        <v>40</v>
      </c>
      <c r="C48" s="138"/>
      <c r="D48" s="591"/>
      <c r="E48" s="57" t="str">
        <f t="shared" si="11"/>
        <v>Contaminated</v>
      </c>
      <c r="F48" s="57" t="s">
        <v>190</v>
      </c>
      <c r="G48" s="57" t="str">
        <f t="shared" si="6"/>
        <v>Pasture</v>
      </c>
      <c r="H48" s="57" t="str">
        <f t="shared" si="10"/>
        <v>Unlined</v>
      </c>
      <c r="I48" s="57" t="s">
        <v>1990</v>
      </c>
      <c r="J48" s="67"/>
      <c r="K48" s="55"/>
      <c r="L48" s="494"/>
      <c r="M48" s="574" t="str">
        <f t="shared" si="17"/>
        <v/>
      </c>
      <c r="N48" s="574" t="str">
        <f t="shared" si="17"/>
        <v/>
      </c>
      <c r="O48" s="574" t="str">
        <f t="shared" si="17"/>
        <v/>
      </c>
      <c r="P48" s="574" t="str">
        <f t="shared" si="17"/>
        <v/>
      </c>
      <c r="Q48" s="574" t="str">
        <f t="shared" si="17"/>
        <v/>
      </c>
      <c r="R48" s="574" t="str">
        <f t="shared" si="17"/>
        <v/>
      </c>
      <c r="S48" s="574" t="str">
        <f t="shared" si="17"/>
        <v/>
      </c>
      <c r="T48" s="574" t="str">
        <f t="shared" si="17"/>
        <v/>
      </c>
      <c r="U48" s="574" t="str">
        <f t="shared" si="17"/>
        <v/>
      </c>
      <c r="V48" s="574" t="str">
        <f t="shared" si="17"/>
        <v/>
      </c>
      <c r="W48" s="574" t="str">
        <f t="shared" si="17"/>
        <v/>
      </c>
      <c r="X48" s="574" t="str">
        <f t="shared" si="17"/>
        <v/>
      </c>
      <c r="Y48" s="574" t="str">
        <f t="shared" si="17"/>
        <v/>
      </c>
      <c r="Z48" s="574" t="str">
        <f t="shared" si="17"/>
        <v/>
      </c>
      <c r="AA48" s="574" t="str">
        <f t="shared" si="17"/>
        <v/>
      </c>
      <c r="AB48" s="574" t="str">
        <f t="shared" si="17"/>
        <v/>
      </c>
      <c r="AC48" s="574" t="str">
        <f t="shared" si="16"/>
        <v/>
      </c>
      <c r="AD48" s="574" t="str">
        <f t="shared" si="16"/>
        <v/>
      </c>
      <c r="AE48" s="574" t="str">
        <f t="shared" si="16"/>
        <v/>
      </c>
      <c r="AF48" s="574" t="str">
        <f t="shared" si="16"/>
        <v/>
      </c>
      <c r="AG48" s="574" t="str">
        <f t="shared" si="16"/>
        <v/>
      </c>
      <c r="AH48" s="574" t="str">
        <f t="shared" si="16"/>
        <v/>
      </c>
      <c r="AI48" s="574" t="str">
        <f t="shared" si="16"/>
        <v/>
      </c>
      <c r="AJ48" s="574" t="str">
        <f t="shared" si="16"/>
        <v/>
      </c>
      <c r="AK48" s="574" t="str">
        <f t="shared" si="16"/>
        <v/>
      </c>
      <c r="AL48" s="574" t="str">
        <f t="shared" si="16"/>
        <v/>
      </c>
      <c r="AM48" s="574" t="str">
        <f t="shared" si="16"/>
        <v/>
      </c>
      <c r="AN48" s="574" t="str">
        <f t="shared" si="16"/>
        <v/>
      </c>
      <c r="AO48" s="574" t="str">
        <f t="shared" si="16"/>
        <v/>
      </c>
      <c r="AP48" s="574" t="str">
        <f t="shared" si="16"/>
        <v/>
      </c>
      <c r="AQ48" s="574" t="str">
        <f t="shared" si="16"/>
        <v/>
      </c>
      <c r="AR48" s="574" t="str">
        <f t="shared" si="15"/>
        <v/>
      </c>
      <c r="AS48" s="574" t="str">
        <f t="shared" si="15"/>
        <v/>
      </c>
      <c r="AT48" s="574" t="str">
        <f t="shared" si="15"/>
        <v/>
      </c>
      <c r="AU48" s="574" t="str">
        <f t="shared" si="15"/>
        <v/>
      </c>
      <c r="AV48" s="574" t="str">
        <f t="shared" si="15"/>
        <v/>
      </c>
      <c r="AW48" s="574" t="str">
        <f t="shared" si="15"/>
        <v/>
      </c>
      <c r="AX48" s="574" t="str">
        <f t="shared" si="15"/>
        <v/>
      </c>
      <c r="AY48" s="574" t="str">
        <f t="shared" si="15"/>
        <v/>
      </c>
      <c r="AZ48" s="574">
        <f t="shared" si="15"/>
        <v>0</v>
      </c>
      <c r="BA48" s="574" t="str">
        <f t="shared" si="15"/>
        <v/>
      </c>
      <c r="BB48" s="574" t="str">
        <f t="shared" si="15"/>
        <v/>
      </c>
      <c r="BC48" s="574" t="str">
        <f t="shared" si="14"/>
        <v/>
      </c>
      <c r="BD48" s="574" t="str">
        <f t="shared" si="14"/>
        <v/>
      </c>
      <c r="BE48" s="574" t="str">
        <f t="shared" si="14"/>
        <v/>
      </c>
      <c r="BF48" s="574" t="str">
        <f t="shared" si="8"/>
        <v/>
      </c>
      <c r="BG48" s="574" t="str">
        <f t="shared" si="8"/>
        <v/>
      </c>
      <c r="BH48" s="574" t="str">
        <f t="shared" si="8"/>
        <v/>
      </c>
      <c r="BI48" s="510">
        <f t="shared" si="1"/>
        <v>42</v>
      </c>
      <c r="BJ48" s="631">
        <f t="shared" si="3"/>
        <v>0</v>
      </c>
      <c r="BK48" s="632" t="str">
        <f t="shared" si="4"/>
        <v>&gt;1000 to &lt;=5000 ML Contaminated, Unlined, Pasture</v>
      </c>
    </row>
    <row r="49" spans="1:63">
      <c r="A49" s="532"/>
      <c r="B49" s="562">
        <f t="shared" si="5"/>
        <v>41</v>
      </c>
      <c r="C49" s="138"/>
      <c r="D49" s="591"/>
      <c r="E49" s="57" t="str">
        <f t="shared" si="11"/>
        <v>Contaminated</v>
      </c>
      <c r="F49" s="57" t="s">
        <v>190</v>
      </c>
      <c r="G49" s="57" t="str">
        <f t="shared" si="6"/>
        <v>Native</v>
      </c>
      <c r="H49" s="57" t="str">
        <f t="shared" si="10"/>
        <v>Unlined</v>
      </c>
      <c r="I49" s="57" t="s">
        <v>1990</v>
      </c>
      <c r="J49" s="67"/>
      <c r="K49" s="55"/>
      <c r="L49" s="494"/>
      <c r="M49" s="574" t="str">
        <f t="shared" si="17"/>
        <v/>
      </c>
      <c r="N49" s="574" t="str">
        <f t="shared" si="17"/>
        <v/>
      </c>
      <c r="O49" s="574" t="str">
        <f t="shared" si="17"/>
        <v/>
      </c>
      <c r="P49" s="574" t="str">
        <f t="shared" si="17"/>
        <v/>
      </c>
      <c r="Q49" s="574" t="str">
        <f t="shared" si="17"/>
        <v/>
      </c>
      <c r="R49" s="574" t="str">
        <f t="shared" si="17"/>
        <v/>
      </c>
      <c r="S49" s="574" t="str">
        <f t="shared" si="17"/>
        <v/>
      </c>
      <c r="T49" s="574" t="str">
        <f t="shared" si="17"/>
        <v/>
      </c>
      <c r="U49" s="574" t="str">
        <f t="shared" si="17"/>
        <v/>
      </c>
      <c r="V49" s="574" t="str">
        <f t="shared" si="17"/>
        <v/>
      </c>
      <c r="W49" s="574" t="str">
        <f t="shared" si="17"/>
        <v/>
      </c>
      <c r="X49" s="574" t="str">
        <f t="shared" si="17"/>
        <v/>
      </c>
      <c r="Y49" s="574" t="str">
        <f t="shared" si="17"/>
        <v/>
      </c>
      <c r="Z49" s="574" t="str">
        <f t="shared" si="17"/>
        <v/>
      </c>
      <c r="AA49" s="574" t="str">
        <f t="shared" si="17"/>
        <v/>
      </c>
      <c r="AB49" s="574" t="str">
        <f t="shared" si="17"/>
        <v/>
      </c>
      <c r="AC49" s="574" t="str">
        <f t="shared" si="16"/>
        <v/>
      </c>
      <c r="AD49" s="574" t="str">
        <f t="shared" si="16"/>
        <v/>
      </c>
      <c r="AE49" s="574" t="str">
        <f t="shared" si="16"/>
        <v/>
      </c>
      <c r="AF49" s="574" t="str">
        <f t="shared" si="16"/>
        <v/>
      </c>
      <c r="AG49" s="574" t="str">
        <f t="shared" si="16"/>
        <v/>
      </c>
      <c r="AH49" s="574" t="str">
        <f t="shared" si="16"/>
        <v/>
      </c>
      <c r="AI49" s="574" t="str">
        <f t="shared" si="16"/>
        <v/>
      </c>
      <c r="AJ49" s="574" t="str">
        <f t="shared" si="16"/>
        <v/>
      </c>
      <c r="AK49" s="574" t="str">
        <f t="shared" si="16"/>
        <v/>
      </c>
      <c r="AL49" s="574" t="str">
        <f t="shared" si="16"/>
        <v/>
      </c>
      <c r="AM49" s="574" t="str">
        <f t="shared" si="16"/>
        <v/>
      </c>
      <c r="AN49" s="574" t="str">
        <f t="shared" si="16"/>
        <v/>
      </c>
      <c r="AO49" s="574" t="str">
        <f t="shared" si="16"/>
        <v/>
      </c>
      <c r="AP49" s="574" t="str">
        <f t="shared" si="16"/>
        <v/>
      </c>
      <c r="AQ49" s="574" t="str">
        <f t="shared" si="16"/>
        <v/>
      </c>
      <c r="AR49" s="574" t="str">
        <f t="shared" si="15"/>
        <v/>
      </c>
      <c r="AS49" s="574" t="str">
        <f t="shared" si="15"/>
        <v/>
      </c>
      <c r="AT49" s="574" t="str">
        <f t="shared" si="15"/>
        <v/>
      </c>
      <c r="AU49" s="574" t="str">
        <f t="shared" si="15"/>
        <v/>
      </c>
      <c r="AV49" s="574" t="str">
        <f t="shared" si="15"/>
        <v/>
      </c>
      <c r="AW49" s="574" t="str">
        <f t="shared" si="15"/>
        <v/>
      </c>
      <c r="AX49" s="574" t="str">
        <f t="shared" si="15"/>
        <v/>
      </c>
      <c r="AY49" s="574" t="str">
        <f t="shared" si="15"/>
        <v/>
      </c>
      <c r="AZ49" s="574" t="str">
        <f t="shared" si="15"/>
        <v/>
      </c>
      <c r="BA49" s="574">
        <f t="shared" si="15"/>
        <v>0</v>
      </c>
      <c r="BB49" s="574" t="str">
        <f t="shared" si="15"/>
        <v/>
      </c>
      <c r="BC49" s="574" t="str">
        <f t="shared" si="14"/>
        <v/>
      </c>
      <c r="BD49" s="574" t="str">
        <f t="shared" si="14"/>
        <v/>
      </c>
      <c r="BE49" s="574" t="str">
        <f t="shared" si="14"/>
        <v/>
      </c>
      <c r="BF49" s="574" t="str">
        <f t="shared" si="8"/>
        <v/>
      </c>
      <c r="BG49" s="574" t="str">
        <f t="shared" si="8"/>
        <v/>
      </c>
      <c r="BH49" s="574" t="str">
        <f t="shared" si="8"/>
        <v/>
      </c>
      <c r="BI49" s="510">
        <f t="shared" si="1"/>
        <v>43</v>
      </c>
      <c r="BJ49" s="631">
        <f t="shared" si="3"/>
        <v>0</v>
      </c>
      <c r="BK49" s="632" t="str">
        <f t="shared" si="4"/>
        <v>&gt;1000 to &lt;=5000 ML Contaminated, Unlined, Native</v>
      </c>
    </row>
    <row r="50" spans="1:63">
      <c r="A50" s="532"/>
      <c r="B50" s="562">
        <f t="shared" si="5"/>
        <v>42</v>
      </c>
      <c r="C50" s="138"/>
      <c r="D50" s="591"/>
      <c r="E50" s="57" t="str">
        <f t="shared" si="11"/>
        <v>Contaminated</v>
      </c>
      <c r="F50" s="57" t="s">
        <v>190</v>
      </c>
      <c r="G50" s="57" t="str">
        <f t="shared" si="6"/>
        <v>Arid</v>
      </c>
      <c r="H50" s="57" t="str">
        <f t="shared" si="10"/>
        <v>Unlined</v>
      </c>
      <c r="I50" s="57" t="s">
        <v>1990</v>
      </c>
      <c r="J50" s="67"/>
      <c r="K50" s="55"/>
      <c r="L50" s="494"/>
      <c r="M50" s="574" t="str">
        <f t="shared" si="17"/>
        <v/>
      </c>
      <c r="N50" s="574" t="str">
        <f t="shared" si="17"/>
        <v/>
      </c>
      <c r="O50" s="574" t="str">
        <f t="shared" si="17"/>
        <v/>
      </c>
      <c r="P50" s="574" t="str">
        <f t="shared" si="17"/>
        <v/>
      </c>
      <c r="Q50" s="574" t="str">
        <f t="shared" si="17"/>
        <v/>
      </c>
      <c r="R50" s="574" t="str">
        <f t="shared" si="17"/>
        <v/>
      </c>
      <c r="S50" s="574" t="str">
        <f t="shared" si="17"/>
        <v/>
      </c>
      <c r="T50" s="574" t="str">
        <f t="shared" si="17"/>
        <v/>
      </c>
      <c r="U50" s="574" t="str">
        <f t="shared" si="17"/>
        <v/>
      </c>
      <c r="V50" s="574" t="str">
        <f t="shared" si="17"/>
        <v/>
      </c>
      <c r="W50" s="574" t="str">
        <f t="shared" si="17"/>
        <v/>
      </c>
      <c r="X50" s="574" t="str">
        <f t="shared" si="17"/>
        <v/>
      </c>
      <c r="Y50" s="574" t="str">
        <f t="shared" si="17"/>
        <v/>
      </c>
      <c r="Z50" s="574" t="str">
        <f t="shared" si="17"/>
        <v/>
      </c>
      <c r="AA50" s="574" t="str">
        <f t="shared" si="17"/>
        <v/>
      </c>
      <c r="AB50" s="574" t="str">
        <f t="shared" si="17"/>
        <v/>
      </c>
      <c r="AC50" s="574" t="str">
        <f t="shared" si="16"/>
        <v/>
      </c>
      <c r="AD50" s="574" t="str">
        <f t="shared" si="16"/>
        <v/>
      </c>
      <c r="AE50" s="574" t="str">
        <f t="shared" si="16"/>
        <v/>
      </c>
      <c r="AF50" s="574" t="str">
        <f t="shared" si="16"/>
        <v/>
      </c>
      <c r="AG50" s="574" t="str">
        <f t="shared" si="16"/>
        <v/>
      </c>
      <c r="AH50" s="574" t="str">
        <f t="shared" si="16"/>
        <v/>
      </c>
      <c r="AI50" s="574" t="str">
        <f t="shared" si="16"/>
        <v/>
      </c>
      <c r="AJ50" s="574" t="str">
        <f t="shared" si="16"/>
        <v/>
      </c>
      <c r="AK50" s="574" t="str">
        <f t="shared" si="16"/>
        <v/>
      </c>
      <c r="AL50" s="574" t="str">
        <f t="shared" si="16"/>
        <v/>
      </c>
      <c r="AM50" s="574" t="str">
        <f t="shared" si="16"/>
        <v/>
      </c>
      <c r="AN50" s="574" t="str">
        <f t="shared" si="16"/>
        <v/>
      </c>
      <c r="AO50" s="574" t="str">
        <f t="shared" si="16"/>
        <v/>
      </c>
      <c r="AP50" s="574" t="str">
        <f t="shared" si="16"/>
        <v/>
      </c>
      <c r="AQ50" s="574" t="str">
        <f t="shared" si="16"/>
        <v/>
      </c>
      <c r="AR50" s="574" t="str">
        <f t="shared" si="15"/>
        <v/>
      </c>
      <c r="AS50" s="574" t="str">
        <f t="shared" si="15"/>
        <v/>
      </c>
      <c r="AT50" s="574" t="str">
        <f t="shared" si="15"/>
        <v/>
      </c>
      <c r="AU50" s="574" t="str">
        <f t="shared" ref="AU50:BH65" si="18">IF($BK50=AU$7,$K50,"")</f>
        <v/>
      </c>
      <c r="AV50" s="574" t="str">
        <f t="shared" si="18"/>
        <v/>
      </c>
      <c r="AW50" s="574" t="str">
        <f t="shared" si="18"/>
        <v/>
      </c>
      <c r="AX50" s="574" t="str">
        <f t="shared" si="18"/>
        <v/>
      </c>
      <c r="AY50" s="574" t="str">
        <f t="shared" si="18"/>
        <v/>
      </c>
      <c r="AZ50" s="574" t="str">
        <f t="shared" si="18"/>
        <v/>
      </c>
      <c r="BA50" s="574" t="str">
        <f t="shared" si="18"/>
        <v/>
      </c>
      <c r="BB50" s="574">
        <f t="shared" si="18"/>
        <v>0</v>
      </c>
      <c r="BC50" s="574" t="str">
        <f t="shared" si="18"/>
        <v/>
      </c>
      <c r="BD50" s="574" t="str">
        <f t="shared" si="18"/>
        <v/>
      </c>
      <c r="BE50" s="574" t="str">
        <f t="shared" si="18"/>
        <v/>
      </c>
      <c r="BF50" s="574" t="str">
        <f t="shared" si="18"/>
        <v/>
      </c>
      <c r="BG50" s="574" t="str">
        <f t="shared" si="18"/>
        <v/>
      </c>
      <c r="BH50" s="574" t="str">
        <f t="shared" si="18"/>
        <v/>
      </c>
      <c r="BI50" s="510">
        <f t="shared" si="1"/>
        <v>44</v>
      </c>
      <c r="BJ50" s="631">
        <f t="shared" si="3"/>
        <v>0</v>
      </c>
      <c r="BK50" s="632" t="str">
        <f t="shared" si="4"/>
        <v>&gt;1000 to &lt;=5000 ML Contaminated, Unlined, Arid</v>
      </c>
    </row>
    <row r="51" spans="1:63">
      <c r="A51" s="532"/>
      <c r="B51" s="562">
        <f t="shared" si="5"/>
        <v>43</v>
      </c>
      <c r="C51" s="138"/>
      <c r="D51" s="591"/>
      <c r="E51" s="57" t="str">
        <f t="shared" si="11"/>
        <v>Clean</v>
      </c>
      <c r="F51" s="57" t="s">
        <v>190</v>
      </c>
      <c r="G51" s="57" t="str">
        <f t="shared" si="6"/>
        <v>Pasture</v>
      </c>
      <c r="H51" s="57" t="str">
        <f t="shared" si="10"/>
        <v>Lined</v>
      </c>
      <c r="I51" s="57" t="s">
        <v>1990</v>
      </c>
      <c r="J51" s="67"/>
      <c r="K51" s="55"/>
      <c r="L51" s="494"/>
      <c r="M51" s="574" t="str">
        <f t="shared" si="17"/>
        <v/>
      </c>
      <c r="N51" s="574" t="str">
        <f t="shared" si="17"/>
        <v/>
      </c>
      <c r="O51" s="574" t="str">
        <f t="shared" si="17"/>
        <v/>
      </c>
      <c r="P51" s="574" t="str">
        <f t="shared" si="17"/>
        <v/>
      </c>
      <c r="Q51" s="574" t="str">
        <f t="shared" si="17"/>
        <v/>
      </c>
      <c r="R51" s="574" t="str">
        <f t="shared" si="17"/>
        <v/>
      </c>
      <c r="S51" s="574" t="str">
        <f t="shared" si="17"/>
        <v/>
      </c>
      <c r="T51" s="574" t="str">
        <f t="shared" si="17"/>
        <v/>
      </c>
      <c r="U51" s="574" t="str">
        <f t="shared" si="17"/>
        <v/>
      </c>
      <c r="V51" s="574" t="str">
        <f t="shared" si="17"/>
        <v/>
      </c>
      <c r="W51" s="574" t="str">
        <f t="shared" si="17"/>
        <v/>
      </c>
      <c r="X51" s="574" t="str">
        <f t="shared" si="17"/>
        <v/>
      </c>
      <c r="Y51" s="574" t="str">
        <f t="shared" si="17"/>
        <v/>
      </c>
      <c r="Z51" s="574" t="str">
        <f t="shared" si="17"/>
        <v/>
      </c>
      <c r="AA51" s="574" t="str">
        <f t="shared" si="17"/>
        <v/>
      </c>
      <c r="AB51" s="574" t="str">
        <f t="shared" si="17"/>
        <v/>
      </c>
      <c r="AC51" s="574" t="str">
        <f t="shared" si="16"/>
        <v/>
      </c>
      <c r="AD51" s="574" t="str">
        <f t="shared" si="16"/>
        <v/>
      </c>
      <c r="AE51" s="574" t="str">
        <f t="shared" si="16"/>
        <v/>
      </c>
      <c r="AF51" s="574" t="str">
        <f t="shared" si="16"/>
        <v/>
      </c>
      <c r="AG51" s="574" t="str">
        <f t="shared" si="16"/>
        <v/>
      </c>
      <c r="AH51" s="574" t="str">
        <f t="shared" si="16"/>
        <v/>
      </c>
      <c r="AI51" s="574" t="str">
        <f t="shared" si="16"/>
        <v/>
      </c>
      <c r="AJ51" s="574" t="str">
        <f t="shared" si="16"/>
        <v/>
      </c>
      <c r="AK51" s="574" t="str">
        <f t="shared" si="16"/>
        <v/>
      </c>
      <c r="AL51" s="574" t="str">
        <f t="shared" si="16"/>
        <v/>
      </c>
      <c r="AM51" s="574" t="str">
        <f t="shared" si="16"/>
        <v/>
      </c>
      <c r="AN51" s="574" t="str">
        <f t="shared" si="16"/>
        <v/>
      </c>
      <c r="AO51" s="574" t="str">
        <f t="shared" si="16"/>
        <v/>
      </c>
      <c r="AP51" s="574" t="str">
        <f t="shared" si="16"/>
        <v/>
      </c>
      <c r="AQ51" s="574" t="str">
        <f t="shared" si="16"/>
        <v/>
      </c>
      <c r="AR51" s="574" t="str">
        <f t="shared" ref="AR51:BG66" si="19">IF($BK51=AR$7,$K51,"")</f>
        <v/>
      </c>
      <c r="AS51" s="574" t="str">
        <f t="shared" si="19"/>
        <v/>
      </c>
      <c r="AT51" s="574" t="str">
        <f t="shared" si="19"/>
        <v/>
      </c>
      <c r="AU51" s="574" t="str">
        <f t="shared" si="19"/>
        <v/>
      </c>
      <c r="AV51" s="574" t="str">
        <f t="shared" si="19"/>
        <v/>
      </c>
      <c r="AW51" s="574" t="str">
        <f t="shared" si="19"/>
        <v/>
      </c>
      <c r="AX51" s="574" t="str">
        <f t="shared" si="19"/>
        <v/>
      </c>
      <c r="AY51" s="574" t="str">
        <f t="shared" si="19"/>
        <v/>
      </c>
      <c r="AZ51" s="574" t="str">
        <f t="shared" si="19"/>
        <v/>
      </c>
      <c r="BA51" s="574" t="str">
        <f t="shared" si="19"/>
        <v/>
      </c>
      <c r="BB51" s="574" t="str">
        <f t="shared" si="19"/>
        <v/>
      </c>
      <c r="BC51" s="574">
        <f t="shared" si="19"/>
        <v>0</v>
      </c>
      <c r="BD51" s="574" t="str">
        <f t="shared" si="19"/>
        <v/>
      </c>
      <c r="BE51" s="574" t="str">
        <f t="shared" si="19"/>
        <v/>
      </c>
      <c r="BF51" s="574" t="str">
        <f t="shared" si="19"/>
        <v/>
      </c>
      <c r="BG51" s="574" t="str">
        <f t="shared" si="19"/>
        <v/>
      </c>
      <c r="BH51" s="574" t="str">
        <f t="shared" si="18"/>
        <v/>
      </c>
      <c r="BI51" s="510">
        <f t="shared" si="1"/>
        <v>45</v>
      </c>
      <c r="BJ51" s="631">
        <f t="shared" si="3"/>
        <v>0</v>
      </c>
      <c r="BK51" s="632" t="str">
        <f t="shared" si="4"/>
        <v>&gt;1000 to &lt;=5000 ML Clean, Lined, Pasture</v>
      </c>
    </row>
    <row r="52" spans="1:63">
      <c r="A52" s="532"/>
      <c r="B52" s="562">
        <f t="shared" si="5"/>
        <v>44</v>
      </c>
      <c r="C52" s="138"/>
      <c r="D52" s="591"/>
      <c r="E52" s="57" t="str">
        <f t="shared" si="11"/>
        <v>Clean</v>
      </c>
      <c r="F52" s="57" t="s">
        <v>190</v>
      </c>
      <c r="G52" s="57" t="str">
        <f t="shared" si="6"/>
        <v>Native</v>
      </c>
      <c r="H52" s="57" t="str">
        <f t="shared" si="10"/>
        <v>Lined</v>
      </c>
      <c r="I52" s="57" t="s">
        <v>1990</v>
      </c>
      <c r="J52" s="67"/>
      <c r="K52" s="55"/>
      <c r="L52" s="494"/>
      <c r="M52" s="574" t="str">
        <f t="shared" si="17"/>
        <v/>
      </c>
      <c r="N52" s="574" t="str">
        <f t="shared" si="17"/>
        <v/>
      </c>
      <c r="O52" s="574" t="str">
        <f t="shared" si="17"/>
        <v/>
      </c>
      <c r="P52" s="574" t="str">
        <f t="shared" si="17"/>
        <v/>
      </c>
      <c r="Q52" s="574" t="str">
        <f t="shared" si="17"/>
        <v/>
      </c>
      <c r="R52" s="574" t="str">
        <f t="shared" si="17"/>
        <v/>
      </c>
      <c r="S52" s="574" t="str">
        <f t="shared" si="17"/>
        <v/>
      </c>
      <c r="T52" s="574" t="str">
        <f t="shared" si="17"/>
        <v/>
      </c>
      <c r="U52" s="574" t="str">
        <f t="shared" si="17"/>
        <v/>
      </c>
      <c r="V52" s="574" t="str">
        <f t="shared" si="17"/>
        <v/>
      </c>
      <c r="W52" s="574" t="str">
        <f t="shared" si="17"/>
        <v/>
      </c>
      <c r="X52" s="574" t="str">
        <f t="shared" si="17"/>
        <v/>
      </c>
      <c r="Y52" s="574" t="str">
        <f t="shared" si="17"/>
        <v/>
      </c>
      <c r="Z52" s="574" t="str">
        <f t="shared" si="17"/>
        <v/>
      </c>
      <c r="AA52" s="574" t="str">
        <f t="shared" si="17"/>
        <v/>
      </c>
      <c r="AB52" s="574" t="str">
        <f t="shared" si="17"/>
        <v/>
      </c>
      <c r="AC52" s="574" t="str">
        <f t="shared" si="16"/>
        <v/>
      </c>
      <c r="AD52" s="574" t="str">
        <f t="shared" si="16"/>
        <v/>
      </c>
      <c r="AE52" s="574" t="str">
        <f t="shared" si="16"/>
        <v/>
      </c>
      <c r="AF52" s="574" t="str">
        <f t="shared" si="16"/>
        <v/>
      </c>
      <c r="AG52" s="574" t="str">
        <f t="shared" si="16"/>
        <v/>
      </c>
      <c r="AH52" s="574" t="str">
        <f t="shared" si="16"/>
        <v/>
      </c>
      <c r="AI52" s="574" t="str">
        <f t="shared" si="16"/>
        <v/>
      </c>
      <c r="AJ52" s="574" t="str">
        <f t="shared" si="16"/>
        <v/>
      </c>
      <c r="AK52" s="574" t="str">
        <f t="shared" si="16"/>
        <v/>
      </c>
      <c r="AL52" s="574" t="str">
        <f t="shared" si="16"/>
        <v/>
      </c>
      <c r="AM52" s="574" t="str">
        <f t="shared" si="16"/>
        <v/>
      </c>
      <c r="AN52" s="574" t="str">
        <f t="shared" si="16"/>
        <v/>
      </c>
      <c r="AO52" s="574" t="str">
        <f t="shared" si="16"/>
        <v/>
      </c>
      <c r="AP52" s="574" t="str">
        <f t="shared" si="16"/>
        <v/>
      </c>
      <c r="AQ52" s="574" t="str">
        <f t="shared" si="16"/>
        <v/>
      </c>
      <c r="AR52" s="574" t="str">
        <f t="shared" si="19"/>
        <v/>
      </c>
      <c r="AS52" s="574" t="str">
        <f t="shared" si="19"/>
        <v/>
      </c>
      <c r="AT52" s="574" t="str">
        <f t="shared" si="19"/>
        <v/>
      </c>
      <c r="AU52" s="574" t="str">
        <f t="shared" si="19"/>
        <v/>
      </c>
      <c r="AV52" s="574" t="str">
        <f t="shared" si="19"/>
        <v/>
      </c>
      <c r="AW52" s="574" t="str">
        <f t="shared" si="19"/>
        <v/>
      </c>
      <c r="AX52" s="574" t="str">
        <f t="shared" si="19"/>
        <v/>
      </c>
      <c r="AY52" s="574" t="str">
        <f t="shared" si="19"/>
        <v/>
      </c>
      <c r="AZ52" s="574" t="str">
        <f t="shared" si="19"/>
        <v/>
      </c>
      <c r="BA52" s="574" t="str">
        <f t="shared" si="19"/>
        <v/>
      </c>
      <c r="BB52" s="574" t="str">
        <f t="shared" si="19"/>
        <v/>
      </c>
      <c r="BC52" s="574" t="str">
        <f t="shared" si="19"/>
        <v/>
      </c>
      <c r="BD52" s="574">
        <f t="shared" si="19"/>
        <v>0</v>
      </c>
      <c r="BE52" s="574" t="str">
        <f t="shared" si="19"/>
        <v/>
      </c>
      <c r="BF52" s="574" t="str">
        <f t="shared" si="19"/>
        <v/>
      </c>
      <c r="BG52" s="574" t="str">
        <f t="shared" si="19"/>
        <v/>
      </c>
      <c r="BH52" s="574" t="str">
        <f t="shared" si="18"/>
        <v/>
      </c>
      <c r="BI52" s="510">
        <f t="shared" si="1"/>
        <v>46</v>
      </c>
      <c r="BJ52" s="631">
        <f t="shared" si="3"/>
        <v>0</v>
      </c>
      <c r="BK52" s="632" t="str">
        <f t="shared" si="4"/>
        <v>&gt;1000 to &lt;=5000 ML Clean, Lined, Native</v>
      </c>
    </row>
    <row r="53" spans="1:63">
      <c r="A53" s="532"/>
      <c r="B53" s="562">
        <f t="shared" si="5"/>
        <v>45</v>
      </c>
      <c r="C53" s="138"/>
      <c r="D53" s="591"/>
      <c r="E53" s="57" t="str">
        <f t="shared" si="11"/>
        <v>Clean</v>
      </c>
      <c r="F53" s="57" t="s">
        <v>190</v>
      </c>
      <c r="G53" s="57" t="str">
        <f t="shared" si="6"/>
        <v>Arid</v>
      </c>
      <c r="H53" s="57" t="str">
        <f t="shared" si="10"/>
        <v>Lined</v>
      </c>
      <c r="I53" s="57" t="s">
        <v>1990</v>
      </c>
      <c r="J53" s="67"/>
      <c r="K53" s="55"/>
      <c r="L53" s="494"/>
      <c r="M53" s="574" t="str">
        <f t="shared" si="17"/>
        <v/>
      </c>
      <c r="N53" s="574" t="str">
        <f t="shared" si="17"/>
        <v/>
      </c>
      <c r="O53" s="574" t="str">
        <f t="shared" si="17"/>
        <v/>
      </c>
      <c r="P53" s="574" t="str">
        <f t="shared" si="17"/>
        <v/>
      </c>
      <c r="Q53" s="574" t="str">
        <f t="shared" si="17"/>
        <v/>
      </c>
      <c r="R53" s="574" t="str">
        <f t="shared" si="17"/>
        <v/>
      </c>
      <c r="S53" s="574" t="str">
        <f t="shared" si="17"/>
        <v/>
      </c>
      <c r="T53" s="574" t="str">
        <f t="shared" si="17"/>
        <v/>
      </c>
      <c r="U53" s="574" t="str">
        <f t="shared" si="17"/>
        <v/>
      </c>
      <c r="V53" s="574" t="str">
        <f t="shared" si="17"/>
        <v/>
      </c>
      <c r="W53" s="574" t="str">
        <f t="shared" si="17"/>
        <v/>
      </c>
      <c r="X53" s="574" t="str">
        <f t="shared" si="17"/>
        <v/>
      </c>
      <c r="Y53" s="574" t="str">
        <f t="shared" si="17"/>
        <v/>
      </c>
      <c r="Z53" s="574" t="str">
        <f t="shared" si="17"/>
        <v/>
      </c>
      <c r="AA53" s="574" t="str">
        <f t="shared" si="17"/>
        <v/>
      </c>
      <c r="AB53" s="574" t="str">
        <f t="shared" si="17"/>
        <v/>
      </c>
      <c r="AC53" s="574" t="str">
        <f t="shared" si="16"/>
        <v/>
      </c>
      <c r="AD53" s="574" t="str">
        <f t="shared" si="16"/>
        <v/>
      </c>
      <c r="AE53" s="574" t="str">
        <f t="shared" si="16"/>
        <v/>
      </c>
      <c r="AF53" s="574" t="str">
        <f t="shared" si="16"/>
        <v/>
      </c>
      <c r="AG53" s="574" t="str">
        <f t="shared" si="16"/>
        <v/>
      </c>
      <c r="AH53" s="574" t="str">
        <f t="shared" si="16"/>
        <v/>
      </c>
      <c r="AI53" s="574" t="str">
        <f t="shared" si="16"/>
        <v/>
      </c>
      <c r="AJ53" s="574" t="str">
        <f t="shared" si="16"/>
        <v/>
      </c>
      <c r="AK53" s="574" t="str">
        <f t="shared" si="16"/>
        <v/>
      </c>
      <c r="AL53" s="574" t="str">
        <f t="shared" si="16"/>
        <v/>
      </c>
      <c r="AM53" s="574" t="str">
        <f t="shared" si="16"/>
        <v/>
      </c>
      <c r="AN53" s="574" t="str">
        <f t="shared" si="16"/>
        <v/>
      </c>
      <c r="AO53" s="574" t="str">
        <f t="shared" si="16"/>
        <v/>
      </c>
      <c r="AP53" s="574" t="str">
        <f t="shared" si="16"/>
        <v/>
      </c>
      <c r="AQ53" s="574" t="str">
        <f t="shared" si="16"/>
        <v/>
      </c>
      <c r="AR53" s="574" t="str">
        <f t="shared" si="19"/>
        <v/>
      </c>
      <c r="AS53" s="574" t="str">
        <f t="shared" si="19"/>
        <v/>
      </c>
      <c r="AT53" s="574" t="str">
        <f t="shared" si="19"/>
        <v/>
      </c>
      <c r="AU53" s="574" t="str">
        <f t="shared" si="19"/>
        <v/>
      </c>
      <c r="AV53" s="574" t="str">
        <f t="shared" si="19"/>
        <v/>
      </c>
      <c r="AW53" s="574" t="str">
        <f t="shared" si="19"/>
        <v/>
      </c>
      <c r="AX53" s="574" t="str">
        <f t="shared" si="19"/>
        <v/>
      </c>
      <c r="AY53" s="574" t="str">
        <f t="shared" si="19"/>
        <v/>
      </c>
      <c r="AZ53" s="574" t="str">
        <f t="shared" si="19"/>
        <v/>
      </c>
      <c r="BA53" s="574" t="str">
        <f t="shared" si="19"/>
        <v/>
      </c>
      <c r="BB53" s="574" t="str">
        <f t="shared" si="19"/>
        <v/>
      </c>
      <c r="BC53" s="574" t="str">
        <f t="shared" si="19"/>
        <v/>
      </c>
      <c r="BD53" s="574" t="str">
        <f t="shared" si="19"/>
        <v/>
      </c>
      <c r="BE53" s="574">
        <f t="shared" si="19"/>
        <v>0</v>
      </c>
      <c r="BF53" s="574" t="str">
        <f t="shared" si="19"/>
        <v/>
      </c>
      <c r="BG53" s="574" t="str">
        <f t="shared" si="19"/>
        <v/>
      </c>
      <c r="BH53" s="574" t="str">
        <f t="shared" si="18"/>
        <v/>
      </c>
      <c r="BI53" s="510">
        <f t="shared" si="1"/>
        <v>47</v>
      </c>
      <c r="BJ53" s="631">
        <f t="shared" si="3"/>
        <v>0</v>
      </c>
      <c r="BK53" s="632" t="str">
        <f t="shared" si="4"/>
        <v>&gt;1000 to &lt;=5000 ML Clean, Lined, Arid</v>
      </c>
    </row>
    <row r="54" spans="1:63">
      <c r="A54" s="532"/>
      <c r="B54" s="562">
        <f t="shared" si="5"/>
        <v>46</v>
      </c>
      <c r="C54" s="138"/>
      <c r="D54" s="591"/>
      <c r="E54" s="57" t="str">
        <f t="shared" si="11"/>
        <v>Clean</v>
      </c>
      <c r="F54" s="57" t="s">
        <v>190</v>
      </c>
      <c r="G54" s="57" t="str">
        <f t="shared" si="6"/>
        <v>Pasture</v>
      </c>
      <c r="H54" s="57" t="str">
        <f t="shared" si="10"/>
        <v>Unlined</v>
      </c>
      <c r="I54" s="57" t="s">
        <v>1990</v>
      </c>
      <c r="J54" s="67"/>
      <c r="K54" s="55"/>
      <c r="L54" s="494"/>
      <c r="M54" s="574" t="str">
        <f t="shared" si="17"/>
        <v/>
      </c>
      <c r="N54" s="574" t="str">
        <f t="shared" si="17"/>
        <v/>
      </c>
      <c r="O54" s="574" t="str">
        <f t="shared" si="17"/>
        <v/>
      </c>
      <c r="P54" s="574" t="str">
        <f t="shared" si="17"/>
        <v/>
      </c>
      <c r="Q54" s="574" t="str">
        <f t="shared" si="17"/>
        <v/>
      </c>
      <c r="R54" s="574" t="str">
        <f t="shared" si="17"/>
        <v/>
      </c>
      <c r="S54" s="574" t="str">
        <f t="shared" si="17"/>
        <v/>
      </c>
      <c r="T54" s="574" t="str">
        <f t="shared" si="17"/>
        <v/>
      </c>
      <c r="U54" s="574" t="str">
        <f t="shared" si="17"/>
        <v/>
      </c>
      <c r="V54" s="574" t="str">
        <f t="shared" si="17"/>
        <v/>
      </c>
      <c r="W54" s="574" t="str">
        <f t="shared" si="17"/>
        <v/>
      </c>
      <c r="X54" s="574" t="str">
        <f t="shared" si="17"/>
        <v/>
      </c>
      <c r="Y54" s="574" t="str">
        <f t="shared" si="17"/>
        <v/>
      </c>
      <c r="Z54" s="574" t="str">
        <f t="shared" si="17"/>
        <v/>
      </c>
      <c r="AA54" s="574" t="str">
        <f t="shared" si="17"/>
        <v/>
      </c>
      <c r="AB54" s="574" t="str">
        <f t="shared" si="17"/>
        <v/>
      </c>
      <c r="AC54" s="574" t="str">
        <f t="shared" si="16"/>
        <v/>
      </c>
      <c r="AD54" s="574" t="str">
        <f t="shared" si="16"/>
        <v/>
      </c>
      <c r="AE54" s="574" t="str">
        <f t="shared" si="16"/>
        <v/>
      </c>
      <c r="AF54" s="574" t="str">
        <f t="shared" si="16"/>
        <v/>
      </c>
      <c r="AG54" s="574" t="str">
        <f t="shared" si="16"/>
        <v/>
      </c>
      <c r="AH54" s="574" t="str">
        <f t="shared" si="16"/>
        <v/>
      </c>
      <c r="AI54" s="574" t="str">
        <f t="shared" si="16"/>
        <v/>
      </c>
      <c r="AJ54" s="574" t="str">
        <f t="shared" si="16"/>
        <v/>
      </c>
      <c r="AK54" s="574" t="str">
        <f t="shared" si="16"/>
        <v/>
      </c>
      <c r="AL54" s="574" t="str">
        <f t="shared" si="16"/>
        <v/>
      </c>
      <c r="AM54" s="574" t="str">
        <f t="shared" si="16"/>
        <v/>
      </c>
      <c r="AN54" s="574" t="str">
        <f t="shared" si="16"/>
        <v/>
      </c>
      <c r="AO54" s="574" t="str">
        <f t="shared" si="16"/>
        <v/>
      </c>
      <c r="AP54" s="574" t="str">
        <f t="shared" si="16"/>
        <v/>
      </c>
      <c r="AQ54" s="574" t="str">
        <f t="shared" si="16"/>
        <v/>
      </c>
      <c r="AR54" s="574" t="str">
        <f t="shared" si="19"/>
        <v/>
      </c>
      <c r="AS54" s="574" t="str">
        <f t="shared" si="19"/>
        <v/>
      </c>
      <c r="AT54" s="574" t="str">
        <f t="shared" si="19"/>
        <v/>
      </c>
      <c r="AU54" s="574" t="str">
        <f t="shared" si="19"/>
        <v/>
      </c>
      <c r="AV54" s="574" t="str">
        <f t="shared" si="19"/>
        <v/>
      </c>
      <c r="AW54" s="574" t="str">
        <f t="shared" si="19"/>
        <v/>
      </c>
      <c r="AX54" s="574" t="str">
        <f t="shared" si="19"/>
        <v/>
      </c>
      <c r="AY54" s="574" t="str">
        <f t="shared" si="19"/>
        <v/>
      </c>
      <c r="AZ54" s="574" t="str">
        <f t="shared" si="19"/>
        <v/>
      </c>
      <c r="BA54" s="574" t="str">
        <f t="shared" si="19"/>
        <v/>
      </c>
      <c r="BB54" s="574" t="str">
        <f t="shared" si="19"/>
        <v/>
      </c>
      <c r="BC54" s="574" t="str">
        <f t="shared" si="19"/>
        <v/>
      </c>
      <c r="BD54" s="574" t="str">
        <f t="shared" si="19"/>
        <v/>
      </c>
      <c r="BE54" s="574" t="str">
        <f t="shared" si="19"/>
        <v/>
      </c>
      <c r="BF54" s="574">
        <f t="shared" si="19"/>
        <v>0</v>
      </c>
      <c r="BG54" s="574" t="str">
        <f t="shared" si="19"/>
        <v/>
      </c>
      <c r="BH54" s="574" t="str">
        <f t="shared" si="18"/>
        <v/>
      </c>
      <c r="BI54" s="510">
        <f t="shared" si="1"/>
        <v>48</v>
      </c>
      <c r="BJ54" s="631">
        <f t="shared" si="3"/>
        <v>0</v>
      </c>
      <c r="BK54" s="632" t="str">
        <f t="shared" si="4"/>
        <v>&gt;1000 to &lt;=5000 ML Clean, Unlined, Pasture</v>
      </c>
    </row>
    <row r="55" spans="1:63">
      <c r="A55" s="532"/>
      <c r="B55" s="562">
        <f t="shared" si="5"/>
        <v>47</v>
      </c>
      <c r="C55" s="138"/>
      <c r="D55" s="591"/>
      <c r="E55" s="57" t="str">
        <f t="shared" si="11"/>
        <v>Clean</v>
      </c>
      <c r="F55" s="57" t="s">
        <v>190</v>
      </c>
      <c r="G55" s="57" t="str">
        <f t="shared" si="6"/>
        <v>Native</v>
      </c>
      <c r="H55" s="57" t="str">
        <f t="shared" si="10"/>
        <v>Unlined</v>
      </c>
      <c r="I55" s="57" t="s">
        <v>1990</v>
      </c>
      <c r="J55" s="67"/>
      <c r="K55" s="55"/>
      <c r="L55" s="494"/>
      <c r="M55" s="574" t="str">
        <f t="shared" si="17"/>
        <v/>
      </c>
      <c r="N55" s="574" t="str">
        <f t="shared" si="17"/>
        <v/>
      </c>
      <c r="O55" s="574" t="str">
        <f t="shared" si="17"/>
        <v/>
      </c>
      <c r="P55" s="574" t="str">
        <f t="shared" si="17"/>
        <v/>
      </c>
      <c r="Q55" s="574" t="str">
        <f t="shared" si="17"/>
        <v/>
      </c>
      <c r="R55" s="574" t="str">
        <f t="shared" si="17"/>
        <v/>
      </c>
      <c r="S55" s="574" t="str">
        <f t="shared" si="17"/>
        <v/>
      </c>
      <c r="T55" s="574" t="str">
        <f t="shared" si="17"/>
        <v/>
      </c>
      <c r="U55" s="574" t="str">
        <f t="shared" si="17"/>
        <v/>
      </c>
      <c r="V55" s="574" t="str">
        <f t="shared" si="17"/>
        <v/>
      </c>
      <c r="W55" s="574" t="str">
        <f t="shared" si="17"/>
        <v/>
      </c>
      <c r="X55" s="574" t="str">
        <f t="shared" si="17"/>
        <v/>
      </c>
      <c r="Y55" s="574" t="str">
        <f t="shared" si="17"/>
        <v/>
      </c>
      <c r="Z55" s="574" t="str">
        <f t="shared" si="17"/>
        <v/>
      </c>
      <c r="AA55" s="574" t="str">
        <f t="shared" si="17"/>
        <v/>
      </c>
      <c r="AB55" s="574" t="str">
        <f t="shared" si="17"/>
        <v/>
      </c>
      <c r="AC55" s="574" t="str">
        <f t="shared" si="16"/>
        <v/>
      </c>
      <c r="AD55" s="574" t="str">
        <f t="shared" si="16"/>
        <v/>
      </c>
      <c r="AE55" s="574" t="str">
        <f t="shared" si="16"/>
        <v/>
      </c>
      <c r="AF55" s="574" t="str">
        <f t="shared" si="16"/>
        <v/>
      </c>
      <c r="AG55" s="574" t="str">
        <f t="shared" si="16"/>
        <v/>
      </c>
      <c r="AH55" s="574" t="str">
        <f t="shared" si="16"/>
        <v/>
      </c>
      <c r="AI55" s="574" t="str">
        <f t="shared" si="16"/>
        <v/>
      </c>
      <c r="AJ55" s="574" t="str">
        <f t="shared" si="16"/>
        <v/>
      </c>
      <c r="AK55" s="574" t="str">
        <f t="shared" si="16"/>
        <v/>
      </c>
      <c r="AL55" s="574" t="str">
        <f t="shared" si="16"/>
        <v/>
      </c>
      <c r="AM55" s="574" t="str">
        <f t="shared" si="16"/>
        <v/>
      </c>
      <c r="AN55" s="574" t="str">
        <f t="shared" si="16"/>
        <v/>
      </c>
      <c r="AO55" s="574" t="str">
        <f t="shared" si="16"/>
        <v/>
      </c>
      <c r="AP55" s="574" t="str">
        <f t="shared" si="16"/>
        <v/>
      </c>
      <c r="AQ55" s="574" t="str">
        <f t="shared" si="16"/>
        <v/>
      </c>
      <c r="AR55" s="574" t="str">
        <f t="shared" si="19"/>
        <v/>
      </c>
      <c r="AS55" s="574" t="str">
        <f t="shared" si="19"/>
        <v/>
      </c>
      <c r="AT55" s="574" t="str">
        <f t="shared" si="19"/>
        <v/>
      </c>
      <c r="AU55" s="574" t="str">
        <f t="shared" si="19"/>
        <v/>
      </c>
      <c r="AV55" s="574" t="str">
        <f t="shared" si="19"/>
        <v/>
      </c>
      <c r="AW55" s="574" t="str">
        <f t="shared" si="19"/>
        <v/>
      </c>
      <c r="AX55" s="574" t="str">
        <f t="shared" si="19"/>
        <v/>
      </c>
      <c r="AY55" s="574" t="str">
        <f t="shared" si="19"/>
        <v/>
      </c>
      <c r="AZ55" s="574" t="str">
        <f t="shared" si="19"/>
        <v/>
      </c>
      <c r="BA55" s="574" t="str">
        <f t="shared" si="19"/>
        <v/>
      </c>
      <c r="BB55" s="574" t="str">
        <f t="shared" si="19"/>
        <v/>
      </c>
      <c r="BC55" s="574" t="str">
        <f t="shared" si="19"/>
        <v/>
      </c>
      <c r="BD55" s="574" t="str">
        <f t="shared" si="19"/>
        <v/>
      </c>
      <c r="BE55" s="574" t="str">
        <f t="shared" si="19"/>
        <v/>
      </c>
      <c r="BF55" s="574" t="str">
        <f t="shared" si="19"/>
        <v/>
      </c>
      <c r="BG55" s="574">
        <f t="shared" si="19"/>
        <v>0</v>
      </c>
      <c r="BH55" s="574" t="str">
        <f t="shared" si="18"/>
        <v/>
      </c>
      <c r="BI55" s="510">
        <f t="shared" si="1"/>
        <v>49</v>
      </c>
      <c r="BJ55" s="631">
        <f t="shared" si="3"/>
        <v>0</v>
      </c>
      <c r="BK55" s="632" t="str">
        <f t="shared" si="4"/>
        <v>&gt;1000 to &lt;=5000 ML Clean, Unlined, Native</v>
      </c>
    </row>
    <row r="56" spans="1:63">
      <c r="A56" s="532"/>
      <c r="B56" s="562">
        <f t="shared" si="5"/>
        <v>48</v>
      </c>
      <c r="C56" s="138"/>
      <c r="D56" s="591"/>
      <c r="E56" s="57" t="str">
        <f t="shared" si="11"/>
        <v>Clean</v>
      </c>
      <c r="F56" s="57" t="s">
        <v>190</v>
      </c>
      <c r="G56" s="57" t="str">
        <f t="shared" si="6"/>
        <v>Arid</v>
      </c>
      <c r="H56" s="57" t="str">
        <f t="shared" si="10"/>
        <v>Unlined</v>
      </c>
      <c r="I56" s="57" t="s">
        <v>1990</v>
      </c>
      <c r="J56" s="67"/>
      <c r="K56" s="55"/>
      <c r="L56" s="494"/>
      <c r="M56" s="574" t="str">
        <f t="shared" si="17"/>
        <v/>
      </c>
      <c r="N56" s="574" t="str">
        <f t="shared" si="17"/>
        <v/>
      </c>
      <c r="O56" s="574" t="str">
        <f t="shared" si="17"/>
        <v/>
      </c>
      <c r="P56" s="574" t="str">
        <f t="shared" si="17"/>
        <v/>
      </c>
      <c r="Q56" s="574" t="str">
        <f t="shared" si="17"/>
        <v/>
      </c>
      <c r="R56" s="574" t="str">
        <f t="shared" si="17"/>
        <v/>
      </c>
      <c r="S56" s="574" t="str">
        <f t="shared" si="17"/>
        <v/>
      </c>
      <c r="T56" s="574" t="str">
        <f t="shared" si="17"/>
        <v/>
      </c>
      <c r="U56" s="574" t="str">
        <f t="shared" si="17"/>
        <v/>
      </c>
      <c r="V56" s="574" t="str">
        <f t="shared" si="17"/>
        <v/>
      </c>
      <c r="W56" s="574" t="str">
        <f t="shared" si="17"/>
        <v/>
      </c>
      <c r="X56" s="574" t="str">
        <f t="shared" si="17"/>
        <v/>
      </c>
      <c r="Y56" s="574" t="str">
        <f t="shared" si="17"/>
        <v/>
      </c>
      <c r="Z56" s="574" t="str">
        <f t="shared" si="17"/>
        <v/>
      </c>
      <c r="AA56" s="574" t="str">
        <f t="shared" si="17"/>
        <v/>
      </c>
      <c r="AB56" s="574" t="str">
        <f t="shared" si="17"/>
        <v/>
      </c>
      <c r="AC56" s="574" t="str">
        <f t="shared" si="16"/>
        <v/>
      </c>
      <c r="AD56" s="574" t="str">
        <f t="shared" si="16"/>
        <v/>
      </c>
      <c r="AE56" s="574" t="str">
        <f t="shared" si="16"/>
        <v/>
      </c>
      <c r="AF56" s="574" t="str">
        <f t="shared" si="16"/>
        <v/>
      </c>
      <c r="AG56" s="574" t="str">
        <f t="shared" si="16"/>
        <v/>
      </c>
      <c r="AH56" s="574" t="str">
        <f t="shared" si="16"/>
        <v/>
      </c>
      <c r="AI56" s="574" t="str">
        <f t="shared" si="16"/>
        <v/>
      </c>
      <c r="AJ56" s="574" t="str">
        <f t="shared" si="16"/>
        <v/>
      </c>
      <c r="AK56" s="574" t="str">
        <f t="shared" si="16"/>
        <v/>
      </c>
      <c r="AL56" s="574" t="str">
        <f t="shared" si="16"/>
        <v/>
      </c>
      <c r="AM56" s="574" t="str">
        <f t="shared" si="16"/>
        <v/>
      </c>
      <c r="AN56" s="574" t="str">
        <f t="shared" si="16"/>
        <v/>
      </c>
      <c r="AO56" s="574" t="str">
        <f t="shared" si="16"/>
        <v/>
      </c>
      <c r="AP56" s="574" t="str">
        <f t="shared" si="16"/>
        <v/>
      </c>
      <c r="AQ56" s="574" t="str">
        <f t="shared" si="16"/>
        <v/>
      </c>
      <c r="AR56" s="574" t="str">
        <f t="shared" si="19"/>
        <v/>
      </c>
      <c r="AS56" s="574" t="str">
        <f t="shared" si="19"/>
        <v/>
      </c>
      <c r="AT56" s="574" t="str">
        <f t="shared" si="19"/>
        <v/>
      </c>
      <c r="AU56" s="574" t="str">
        <f t="shared" si="19"/>
        <v/>
      </c>
      <c r="AV56" s="574" t="str">
        <f t="shared" si="19"/>
        <v/>
      </c>
      <c r="AW56" s="574" t="str">
        <f t="shared" si="19"/>
        <v/>
      </c>
      <c r="AX56" s="574" t="str">
        <f t="shared" si="19"/>
        <v/>
      </c>
      <c r="AY56" s="574" t="str">
        <f t="shared" si="19"/>
        <v/>
      </c>
      <c r="AZ56" s="574" t="str">
        <f t="shared" si="19"/>
        <v/>
      </c>
      <c r="BA56" s="574" t="str">
        <f t="shared" si="19"/>
        <v/>
      </c>
      <c r="BB56" s="574" t="str">
        <f t="shared" si="19"/>
        <v/>
      </c>
      <c r="BC56" s="574" t="str">
        <f t="shared" si="19"/>
        <v/>
      </c>
      <c r="BD56" s="574" t="str">
        <f t="shared" si="19"/>
        <v/>
      </c>
      <c r="BE56" s="574" t="str">
        <f t="shared" si="19"/>
        <v/>
      </c>
      <c r="BF56" s="574" t="str">
        <f t="shared" si="19"/>
        <v/>
      </c>
      <c r="BG56" s="574" t="str">
        <f t="shared" si="19"/>
        <v/>
      </c>
      <c r="BH56" s="574">
        <f t="shared" si="18"/>
        <v>0</v>
      </c>
      <c r="BI56" s="510">
        <f t="shared" si="1"/>
        <v>50</v>
      </c>
      <c r="BJ56" s="631">
        <f t="shared" si="3"/>
        <v>0</v>
      </c>
      <c r="BK56" s="632" t="str">
        <f t="shared" si="4"/>
        <v>&gt;1000 to &lt;=5000 ML Clean, Unlined, Arid</v>
      </c>
    </row>
    <row r="57" spans="1:63">
      <c r="A57" s="532"/>
      <c r="B57" s="562">
        <f t="shared" si="5"/>
        <v>49</v>
      </c>
      <c r="C57" s="138"/>
      <c r="D57" s="591"/>
      <c r="E57" s="57" t="str">
        <f t="shared" si="11"/>
        <v>Contaminated</v>
      </c>
      <c r="F57" s="57" t="str">
        <f t="shared" ref="F57:F59" si="20">F33</f>
        <v>&gt;200 ML to &lt;=1000 ML</v>
      </c>
      <c r="G57" s="57" t="str">
        <f t="shared" si="6"/>
        <v>Pasture</v>
      </c>
      <c r="H57" s="57" t="str">
        <f t="shared" si="10"/>
        <v>Lined</v>
      </c>
      <c r="I57" s="57" t="s">
        <v>1990</v>
      </c>
      <c r="J57" s="67"/>
      <c r="K57" s="55"/>
      <c r="L57" s="494"/>
      <c r="M57" s="574" t="str">
        <f t="shared" si="17"/>
        <v/>
      </c>
      <c r="N57" s="574" t="str">
        <f t="shared" si="17"/>
        <v/>
      </c>
      <c r="O57" s="574" t="str">
        <f t="shared" si="17"/>
        <v/>
      </c>
      <c r="P57" s="574" t="str">
        <f t="shared" si="17"/>
        <v/>
      </c>
      <c r="Q57" s="574" t="str">
        <f t="shared" si="17"/>
        <v/>
      </c>
      <c r="R57" s="574" t="str">
        <f t="shared" si="17"/>
        <v/>
      </c>
      <c r="S57" s="574" t="str">
        <f t="shared" si="17"/>
        <v/>
      </c>
      <c r="T57" s="574" t="str">
        <f t="shared" si="17"/>
        <v/>
      </c>
      <c r="U57" s="574" t="str">
        <f t="shared" si="17"/>
        <v/>
      </c>
      <c r="V57" s="574" t="str">
        <f t="shared" si="17"/>
        <v/>
      </c>
      <c r="W57" s="574" t="str">
        <f t="shared" si="17"/>
        <v/>
      </c>
      <c r="X57" s="574" t="str">
        <f t="shared" si="17"/>
        <v/>
      </c>
      <c r="Y57" s="574" t="str">
        <f t="shared" si="17"/>
        <v/>
      </c>
      <c r="Z57" s="574" t="str">
        <f t="shared" si="17"/>
        <v/>
      </c>
      <c r="AA57" s="574" t="str">
        <f t="shared" si="17"/>
        <v/>
      </c>
      <c r="AB57" s="574" t="str">
        <f t="shared" si="17"/>
        <v/>
      </c>
      <c r="AC57" s="574" t="str">
        <f t="shared" si="16"/>
        <v/>
      </c>
      <c r="AD57" s="574" t="str">
        <f t="shared" si="16"/>
        <v/>
      </c>
      <c r="AE57" s="574" t="str">
        <f t="shared" si="16"/>
        <v/>
      </c>
      <c r="AF57" s="574" t="str">
        <f t="shared" si="16"/>
        <v/>
      </c>
      <c r="AG57" s="574" t="str">
        <f t="shared" si="16"/>
        <v/>
      </c>
      <c r="AH57" s="574" t="str">
        <f t="shared" si="16"/>
        <v/>
      </c>
      <c r="AI57" s="574" t="str">
        <f t="shared" si="16"/>
        <v/>
      </c>
      <c r="AJ57" s="574" t="str">
        <f t="shared" si="16"/>
        <v/>
      </c>
      <c r="AK57" s="574">
        <f t="shared" si="16"/>
        <v>0</v>
      </c>
      <c r="AL57" s="574" t="str">
        <f t="shared" si="16"/>
        <v/>
      </c>
      <c r="AM57" s="574" t="str">
        <f t="shared" si="16"/>
        <v/>
      </c>
      <c r="AN57" s="574" t="str">
        <f t="shared" si="16"/>
        <v/>
      </c>
      <c r="AO57" s="574" t="str">
        <f t="shared" si="16"/>
        <v/>
      </c>
      <c r="AP57" s="574" t="str">
        <f t="shared" si="16"/>
        <v/>
      </c>
      <c r="AQ57" s="574" t="str">
        <f t="shared" si="16"/>
        <v/>
      </c>
      <c r="AR57" s="574" t="str">
        <f t="shared" si="19"/>
        <v/>
      </c>
      <c r="AS57" s="574" t="str">
        <f t="shared" si="19"/>
        <v/>
      </c>
      <c r="AT57" s="574" t="str">
        <f t="shared" si="19"/>
        <v/>
      </c>
      <c r="AU57" s="574" t="str">
        <f t="shared" si="19"/>
        <v/>
      </c>
      <c r="AV57" s="574" t="str">
        <f t="shared" si="19"/>
        <v/>
      </c>
      <c r="AW57" s="574" t="str">
        <f t="shared" si="19"/>
        <v/>
      </c>
      <c r="AX57" s="574" t="str">
        <f t="shared" si="19"/>
        <v/>
      </c>
      <c r="AY57" s="574" t="str">
        <f t="shared" si="19"/>
        <v/>
      </c>
      <c r="AZ57" s="574" t="str">
        <f t="shared" si="19"/>
        <v/>
      </c>
      <c r="BA57" s="574" t="str">
        <f t="shared" si="19"/>
        <v/>
      </c>
      <c r="BB57" s="574" t="str">
        <f t="shared" si="19"/>
        <v/>
      </c>
      <c r="BC57" s="574" t="str">
        <f t="shared" si="19"/>
        <v/>
      </c>
      <c r="BD57" s="574" t="str">
        <f t="shared" si="19"/>
        <v/>
      </c>
      <c r="BE57" s="574" t="str">
        <f t="shared" si="19"/>
        <v/>
      </c>
      <c r="BF57" s="574" t="str">
        <f t="shared" si="19"/>
        <v/>
      </c>
      <c r="BG57" s="574" t="str">
        <f t="shared" si="19"/>
        <v/>
      </c>
      <c r="BH57" s="574" t="str">
        <f t="shared" si="18"/>
        <v/>
      </c>
      <c r="BI57" s="510">
        <f t="shared" si="1"/>
        <v>51</v>
      </c>
      <c r="BJ57" s="631">
        <f t="shared" si="3"/>
        <v>0</v>
      </c>
      <c r="BK57" s="632" t="str">
        <f t="shared" si="4"/>
        <v>&gt;200 ML to &lt;=1000 ML Contaminated, Lined, Pasture</v>
      </c>
    </row>
    <row r="58" spans="1:63">
      <c r="A58" s="532"/>
      <c r="B58" s="562">
        <f t="shared" si="5"/>
        <v>50</v>
      </c>
      <c r="C58" s="138"/>
      <c r="D58" s="591"/>
      <c r="E58" s="57" t="str">
        <f t="shared" si="11"/>
        <v>Contaminated</v>
      </c>
      <c r="F58" s="57" t="str">
        <f t="shared" si="20"/>
        <v>&gt;200 ML to &lt;=1000 ML</v>
      </c>
      <c r="G58" s="57" t="str">
        <f t="shared" si="6"/>
        <v>Native</v>
      </c>
      <c r="H58" s="57" t="str">
        <f t="shared" si="10"/>
        <v>Lined</v>
      </c>
      <c r="I58" s="57" t="s">
        <v>1990</v>
      </c>
      <c r="J58" s="67"/>
      <c r="K58" s="55"/>
      <c r="L58" s="494"/>
      <c r="M58" s="574" t="str">
        <f t="shared" si="17"/>
        <v/>
      </c>
      <c r="N58" s="574" t="str">
        <f t="shared" si="17"/>
        <v/>
      </c>
      <c r="O58" s="574" t="str">
        <f t="shared" si="17"/>
        <v/>
      </c>
      <c r="P58" s="574" t="str">
        <f t="shared" si="17"/>
        <v/>
      </c>
      <c r="Q58" s="574" t="str">
        <f t="shared" si="17"/>
        <v/>
      </c>
      <c r="R58" s="574" t="str">
        <f t="shared" si="17"/>
        <v/>
      </c>
      <c r="S58" s="574" t="str">
        <f t="shared" si="17"/>
        <v/>
      </c>
      <c r="T58" s="574" t="str">
        <f t="shared" si="17"/>
        <v/>
      </c>
      <c r="U58" s="574" t="str">
        <f t="shared" si="17"/>
        <v/>
      </c>
      <c r="V58" s="574" t="str">
        <f t="shared" si="17"/>
        <v/>
      </c>
      <c r="W58" s="574" t="str">
        <f t="shared" si="17"/>
        <v/>
      </c>
      <c r="X58" s="574" t="str">
        <f t="shared" si="17"/>
        <v/>
      </c>
      <c r="Y58" s="574" t="str">
        <f t="shared" si="17"/>
        <v/>
      </c>
      <c r="Z58" s="574" t="str">
        <f t="shared" si="17"/>
        <v/>
      </c>
      <c r="AA58" s="574" t="str">
        <f t="shared" si="17"/>
        <v/>
      </c>
      <c r="AB58" s="574" t="str">
        <f t="shared" si="17"/>
        <v/>
      </c>
      <c r="AC58" s="574" t="str">
        <f t="shared" si="16"/>
        <v/>
      </c>
      <c r="AD58" s="574" t="str">
        <f t="shared" si="16"/>
        <v/>
      </c>
      <c r="AE58" s="574" t="str">
        <f t="shared" si="16"/>
        <v/>
      </c>
      <c r="AF58" s="574" t="str">
        <f t="shared" si="16"/>
        <v/>
      </c>
      <c r="AG58" s="574" t="str">
        <f t="shared" si="16"/>
        <v/>
      </c>
      <c r="AH58" s="574" t="str">
        <f t="shared" si="16"/>
        <v/>
      </c>
      <c r="AI58" s="574" t="str">
        <f t="shared" si="16"/>
        <v/>
      </c>
      <c r="AJ58" s="574" t="str">
        <f t="shared" si="16"/>
        <v/>
      </c>
      <c r="AK58" s="574" t="str">
        <f t="shared" si="16"/>
        <v/>
      </c>
      <c r="AL58" s="574">
        <f t="shared" si="16"/>
        <v>0</v>
      </c>
      <c r="AM58" s="574" t="str">
        <f t="shared" si="16"/>
        <v/>
      </c>
      <c r="AN58" s="574" t="str">
        <f t="shared" si="16"/>
        <v/>
      </c>
      <c r="AO58" s="574" t="str">
        <f t="shared" si="16"/>
        <v/>
      </c>
      <c r="AP58" s="574" t="str">
        <f t="shared" si="16"/>
        <v/>
      </c>
      <c r="AQ58" s="574" t="str">
        <f t="shared" si="16"/>
        <v/>
      </c>
      <c r="AR58" s="574" t="str">
        <f t="shared" si="19"/>
        <v/>
      </c>
      <c r="AS58" s="574" t="str">
        <f t="shared" si="19"/>
        <v/>
      </c>
      <c r="AT58" s="574" t="str">
        <f t="shared" si="19"/>
        <v/>
      </c>
      <c r="AU58" s="574" t="str">
        <f t="shared" si="19"/>
        <v/>
      </c>
      <c r="AV58" s="574" t="str">
        <f t="shared" si="19"/>
        <v/>
      </c>
      <c r="AW58" s="574" t="str">
        <f t="shared" si="19"/>
        <v/>
      </c>
      <c r="AX58" s="574" t="str">
        <f t="shared" si="19"/>
        <v/>
      </c>
      <c r="AY58" s="574" t="str">
        <f t="shared" si="19"/>
        <v/>
      </c>
      <c r="AZ58" s="574" t="str">
        <f t="shared" si="19"/>
        <v/>
      </c>
      <c r="BA58" s="574" t="str">
        <f t="shared" si="19"/>
        <v/>
      </c>
      <c r="BB58" s="574" t="str">
        <f t="shared" si="19"/>
        <v/>
      </c>
      <c r="BC58" s="574" t="str">
        <f t="shared" si="19"/>
        <v/>
      </c>
      <c r="BD58" s="574" t="str">
        <f t="shared" si="19"/>
        <v/>
      </c>
      <c r="BE58" s="574" t="str">
        <f t="shared" si="19"/>
        <v/>
      </c>
      <c r="BF58" s="574" t="str">
        <f t="shared" si="19"/>
        <v/>
      </c>
      <c r="BG58" s="574" t="str">
        <f t="shared" si="19"/>
        <v/>
      </c>
      <c r="BH58" s="574" t="str">
        <f t="shared" si="18"/>
        <v/>
      </c>
      <c r="BI58" s="510">
        <f t="shared" si="1"/>
        <v>52</v>
      </c>
      <c r="BJ58" s="631">
        <f t="shared" si="3"/>
        <v>0</v>
      </c>
      <c r="BK58" s="632" t="str">
        <f t="shared" si="4"/>
        <v>&gt;200 ML to &lt;=1000 ML Contaminated, Lined, Native</v>
      </c>
    </row>
    <row r="59" spans="1:63">
      <c r="A59" s="532"/>
      <c r="B59" s="562">
        <f t="shared" si="5"/>
        <v>51</v>
      </c>
      <c r="C59" s="138"/>
      <c r="D59" s="591"/>
      <c r="E59" s="57" t="str">
        <f t="shared" si="11"/>
        <v>Contaminated</v>
      </c>
      <c r="F59" s="57" t="str">
        <f t="shared" si="20"/>
        <v>&gt;200 ML to &lt;=1000 ML</v>
      </c>
      <c r="G59" s="57" t="str">
        <f t="shared" si="6"/>
        <v>Arid</v>
      </c>
      <c r="H59" s="57" t="str">
        <f t="shared" si="10"/>
        <v>Lined</v>
      </c>
      <c r="I59" s="57" t="s">
        <v>1990</v>
      </c>
      <c r="J59" s="67"/>
      <c r="K59" s="55"/>
      <c r="L59" s="494"/>
      <c r="M59" s="574" t="str">
        <f t="shared" si="17"/>
        <v/>
      </c>
      <c r="N59" s="574" t="str">
        <f t="shared" si="17"/>
        <v/>
      </c>
      <c r="O59" s="574" t="str">
        <f t="shared" si="17"/>
        <v/>
      </c>
      <c r="P59" s="574" t="str">
        <f t="shared" si="17"/>
        <v/>
      </c>
      <c r="Q59" s="574" t="str">
        <f t="shared" si="17"/>
        <v/>
      </c>
      <c r="R59" s="574" t="str">
        <f t="shared" si="17"/>
        <v/>
      </c>
      <c r="S59" s="574" t="str">
        <f t="shared" si="17"/>
        <v/>
      </c>
      <c r="T59" s="574" t="str">
        <f t="shared" si="17"/>
        <v/>
      </c>
      <c r="U59" s="574" t="str">
        <f t="shared" si="17"/>
        <v/>
      </c>
      <c r="V59" s="574" t="str">
        <f t="shared" si="17"/>
        <v/>
      </c>
      <c r="W59" s="574" t="str">
        <f t="shared" si="17"/>
        <v/>
      </c>
      <c r="X59" s="574" t="str">
        <f t="shared" si="17"/>
        <v/>
      </c>
      <c r="Y59" s="574" t="str">
        <f t="shared" si="17"/>
        <v/>
      </c>
      <c r="Z59" s="574" t="str">
        <f t="shared" si="17"/>
        <v/>
      </c>
      <c r="AA59" s="574" t="str">
        <f t="shared" si="17"/>
        <v/>
      </c>
      <c r="AB59" s="574" t="str">
        <f t="shared" si="17"/>
        <v/>
      </c>
      <c r="AC59" s="574" t="str">
        <f t="shared" si="16"/>
        <v/>
      </c>
      <c r="AD59" s="574" t="str">
        <f t="shared" si="16"/>
        <v/>
      </c>
      <c r="AE59" s="574" t="str">
        <f t="shared" si="16"/>
        <v/>
      </c>
      <c r="AF59" s="574" t="str">
        <f t="shared" si="16"/>
        <v/>
      </c>
      <c r="AG59" s="574" t="str">
        <f t="shared" si="16"/>
        <v/>
      </c>
      <c r="AH59" s="574" t="str">
        <f t="shared" si="16"/>
        <v/>
      </c>
      <c r="AI59" s="574" t="str">
        <f t="shared" si="16"/>
        <v/>
      </c>
      <c r="AJ59" s="574" t="str">
        <f t="shared" si="16"/>
        <v/>
      </c>
      <c r="AK59" s="574" t="str">
        <f t="shared" si="16"/>
        <v/>
      </c>
      <c r="AL59" s="574" t="str">
        <f t="shared" si="16"/>
        <v/>
      </c>
      <c r="AM59" s="574">
        <f t="shared" si="16"/>
        <v>0</v>
      </c>
      <c r="AN59" s="574" t="str">
        <f t="shared" si="16"/>
        <v/>
      </c>
      <c r="AO59" s="574" t="str">
        <f t="shared" si="16"/>
        <v/>
      </c>
      <c r="AP59" s="574" t="str">
        <f t="shared" si="16"/>
        <v/>
      </c>
      <c r="AQ59" s="574" t="str">
        <f t="shared" si="16"/>
        <v/>
      </c>
      <c r="AR59" s="574" t="str">
        <f t="shared" si="19"/>
        <v/>
      </c>
      <c r="AS59" s="574" t="str">
        <f t="shared" si="19"/>
        <v/>
      </c>
      <c r="AT59" s="574" t="str">
        <f t="shared" si="19"/>
        <v/>
      </c>
      <c r="AU59" s="574" t="str">
        <f t="shared" si="19"/>
        <v/>
      </c>
      <c r="AV59" s="574" t="str">
        <f t="shared" si="19"/>
        <v/>
      </c>
      <c r="AW59" s="574" t="str">
        <f t="shared" si="19"/>
        <v/>
      </c>
      <c r="AX59" s="574" t="str">
        <f t="shared" si="19"/>
        <v/>
      </c>
      <c r="AY59" s="574" t="str">
        <f t="shared" si="19"/>
        <v/>
      </c>
      <c r="AZ59" s="574" t="str">
        <f t="shared" si="19"/>
        <v/>
      </c>
      <c r="BA59" s="574" t="str">
        <f t="shared" si="19"/>
        <v/>
      </c>
      <c r="BB59" s="574" t="str">
        <f t="shared" si="19"/>
        <v/>
      </c>
      <c r="BC59" s="574" t="str">
        <f t="shared" si="19"/>
        <v/>
      </c>
      <c r="BD59" s="574" t="str">
        <f t="shared" si="19"/>
        <v/>
      </c>
      <c r="BE59" s="574" t="str">
        <f t="shared" si="19"/>
        <v/>
      </c>
      <c r="BF59" s="574" t="str">
        <f t="shared" si="19"/>
        <v/>
      </c>
      <c r="BG59" s="574" t="str">
        <f t="shared" si="19"/>
        <v/>
      </c>
      <c r="BH59" s="574" t="str">
        <f t="shared" si="18"/>
        <v/>
      </c>
      <c r="BI59" s="510">
        <f t="shared" si="1"/>
        <v>53</v>
      </c>
      <c r="BJ59" s="631">
        <f t="shared" si="3"/>
        <v>0</v>
      </c>
      <c r="BK59" s="632" t="str">
        <f t="shared" si="4"/>
        <v>&gt;200 ML to &lt;=1000 ML Contaminated, Lined, Arid</v>
      </c>
    </row>
    <row r="60" spans="1:63">
      <c r="A60" s="532"/>
      <c r="B60" s="562">
        <f t="shared" si="5"/>
        <v>52</v>
      </c>
      <c r="C60" s="138"/>
      <c r="D60" s="591"/>
      <c r="E60" s="57" t="str">
        <f t="shared" si="11"/>
        <v>Contaminated</v>
      </c>
      <c r="F60" s="57" t="s">
        <v>187</v>
      </c>
      <c r="G60" s="57" t="str">
        <f t="shared" si="6"/>
        <v>Pasture</v>
      </c>
      <c r="H60" s="57" t="str">
        <f t="shared" si="10"/>
        <v>Unlined</v>
      </c>
      <c r="I60" s="57" t="s">
        <v>1990</v>
      </c>
      <c r="J60" s="67"/>
      <c r="K60" s="55"/>
      <c r="L60" s="494"/>
      <c r="M60" s="574" t="str">
        <f t="shared" si="17"/>
        <v/>
      </c>
      <c r="N60" s="574" t="str">
        <f t="shared" si="17"/>
        <v/>
      </c>
      <c r="O60" s="574" t="str">
        <f t="shared" si="17"/>
        <v/>
      </c>
      <c r="P60" s="574">
        <f t="shared" si="17"/>
        <v>0</v>
      </c>
      <c r="Q60" s="574" t="str">
        <f t="shared" si="17"/>
        <v/>
      </c>
      <c r="R60" s="574" t="str">
        <f t="shared" si="17"/>
        <v/>
      </c>
      <c r="S60" s="574" t="str">
        <f t="shared" si="17"/>
        <v/>
      </c>
      <c r="T60" s="574" t="str">
        <f t="shared" si="17"/>
        <v/>
      </c>
      <c r="U60" s="574" t="str">
        <f t="shared" si="17"/>
        <v/>
      </c>
      <c r="V60" s="574" t="str">
        <f t="shared" si="17"/>
        <v/>
      </c>
      <c r="W60" s="574" t="str">
        <f t="shared" si="17"/>
        <v/>
      </c>
      <c r="X60" s="574" t="str">
        <f t="shared" si="17"/>
        <v/>
      </c>
      <c r="Y60" s="574" t="str">
        <f t="shared" si="17"/>
        <v/>
      </c>
      <c r="Z60" s="574" t="str">
        <f t="shared" si="17"/>
        <v/>
      </c>
      <c r="AA60" s="574" t="str">
        <f t="shared" si="17"/>
        <v/>
      </c>
      <c r="AB60" s="574" t="str">
        <f t="shared" si="17"/>
        <v/>
      </c>
      <c r="AC60" s="574" t="str">
        <f t="shared" si="16"/>
        <v/>
      </c>
      <c r="AD60" s="574" t="str">
        <f t="shared" si="16"/>
        <v/>
      </c>
      <c r="AE60" s="574" t="str">
        <f t="shared" si="16"/>
        <v/>
      </c>
      <c r="AF60" s="574" t="str">
        <f t="shared" si="16"/>
        <v/>
      </c>
      <c r="AG60" s="574" t="str">
        <f t="shared" si="16"/>
        <v/>
      </c>
      <c r="AH60" s="574" t="str">
        <f t="shared" si="16"/>
        <v/>
      </c>
      <c r="AI60" s="574" t="str">
        <f t="shared" si="16"/>
        <v/>
      </c>
      <c r="AJ60" s="574" t="str">
        <f t="shared" si="16"/>
        <v/>
      </c>
      <c r="AK60" s="574" t="str">
        <f t="shared" si="16"/>
        <v/>
      </c>
      <c r="AL60" s="574" t="str">
        <f t="shared" si="16"/>
        <v/>
      </c>
      <c r="AM60" s="574" t="str">
        <f t="shared" si="16"/>
        <v/>
      </c>
      <c r="AN60" s="574" t="str">
        <f t="shared" si="16"/>
        <v/>
      </c>
      <c r="AO60" s="574" t="str">
        <f t="shared" si="16"/>
        <v/>
      </c>
      <c r="AP60" s="574" t="str">
        <f t="shared" si="16"/>
        <v/>
      </c>
      <c r="AQ60" s="574" t="str">
        <f t="shared" si="16"/>
        <v/>
      </c>
      <c r="AR60" s="574" t="str">
        <f t="shared" si="19"/>
        <v/>
      </c>
      <c r="AS60" s="574" t="str">
        <f t="shared" si="19"/>
        <v/>
      </c>
      <c r="AT60" s="574" t="str">
        <f t="shared" si="19"/>
        <v/>
      </c>
      <c r="AU60" s="574" t="str">
        <f t="shared" si="19"/>
        <v/>
      </c>
      <c r="AV60" s="574" t="str">
        <f t="shared" si="19"/>
        <v/>
      </c>
      <c r="AW60" s="574" t="str">
        <f t="shared" si="19"/>
        <v/>
      </c>
      <c r="AX60" s="574" t="str">
        <f t="shared" si="19"/>
        <v/>
      </c>
      <c r="AY60" s="574" t="str">
        <f t="shared" si="19"/>
        <v/>
      </c>
      <c r="AZ60" s="574" t="str">
        <f t="shared" si="19"/>
        <v/>
      </c>
      <c r="BA60" s="574" t="str">
        <f t="shared" si="19"/>
        <v/>
      </c>
      <c r="BB60" s="574" t="str">
        <f t="shared" si="19"/>
        <v/>
      </c>
      <c r="BC60" s="574" t="str">
        <f t="shared" si="19"/>
        <v/>
      </c>
      <c r="BD60" s="574" t="str">
        <f t="shared" si="19"/>
        <v/>
      </c>
      <c r="BE60" s="574" t="str">
        <f t="shared" si="19"/>
        <v/>
      </c>
      <c r="BF60" s="574" t="str">
        <f t="shared" si="19"/>
        <v/>
      </c>
      <c r="BG60" s="574" t="str">
        <f t="shared" si="19"/>
        <v/>
      </c>
      <c r="BH60" s="574" t="str">
        <f t="shared" si="18"/>
        <v/>
      </c>
      <c r="BI60" s="510">
        <f t="shared" si="1"/>
        <v>54</v>
      </c>
      <c r="BJ60" s="631">
        <f t="shared" si="3"/>
        <v>0</v>
      </c>
      <c r="BK60" s="632" t="str">
        <f t="shared" si="4"/>
        <v>0 to &lt;= 50 ML Contaminated, Unlined, Pasture</v>
      </c>
    </row>
    <row r="61" spans="1:63">
      <c r="A61" s="532"/>
      <c r="B61" s="562">
        <f t="shared" si="5"/>
        <v>53</v>
      </c>
      <c r="C61" s="138"/>
      <c r="D61" s="591"/>
      <c r="E61" s="57" t="str">
        <f t="shared" si="11"/>
        <v>Contaminated</v>
      </c>
      <c r="F61" s="57" t="s">
        <v>187</v>
      </c>
      <c r="G61" s="57" t="str">
        <f t="shared" si="6"/>
        <v>Native</v>
      </c>
      <c r="H61" s="57" t="str">
        <f t="shared" si="10"/>
        <v>Unlined</v>
      </c>
      <c r="I61" s="57" t="s">
        <v>1990</v>
      </c>
      <c r="J61" s="67"/>
      <c r="K61" s="55"/>
      <c r="L61" s="494"/>
      <c r="M61" s="574" t="str">
        <f t="shared" si="17"/>
        <v/>
      </c>
      <c r="N61" s="574" t="str">
        <f t="shared" si="17"/>
        <v/>
      </c>
      <c r="O61" s="574" t="str">
        <f t="shared" si="17"/>
        <v/>
      </c>
      <c r="P61" s="574" t="str">
        <f t="shared" si="17"/>
        <v/>
      </c>
      <c r="Q61" s="574">
        <f t="shared" si="17"/>
        <v>0</v>
      </c>
      <c r="R61" s="574" t="str">
        <f t="shared" si="17"/>
        <v/>
      </c>
      <c r="S61" s="574" t="str">
        <f t="shared" si="17"/>
        <v/>
      </c>
      <c r="T61" s="574" t="str">
        <f t="shared" si="17"/>
        <v/>
      </c>
      <c r="U61" s="574" t="str">
        <f t="shared" si="17"/>
        <v/>
      </c>
      <c r="V61" s="574" t="str">
        <f t="shared" si="17"/>
        <v/>
      </c>
      <c r="W61" s="574" t="str">
        <f t="shared" si="17"/>
        <v/>
      </c>
      <c r="X61" s="574" t="str">
        <f t="shared" si="17"/>
        <v/>
      </c>
      <c r="Y61" s="574" t="str">
        <f t="shared" si="17"/>
        <v/>
      </c>
      <c r="Z61" s="574" t="str">
        <f t="shared" si="17"/>
        <v/>
      </c>
      <c r="AA61" s="574" t="str">
        <f t="shared" si="17"/>
        <v/>
      </c>
      <c r="AB61" s="574" t="str">
        <f t="shared" si="17"/>
        <v/>
      </c>
      <c r="AC61" s="574" t="str">
        <f t="shared" si="16"/>
        <v/>
      </c>
      <c r="AD61" s="574" t="str">
        <f t="shared" si="16"/>
        <v/>
      </c>
      <c r="AE61" s="574" t="str">
        <f t="shared" si="16"/>
        <v/>
      </c>
      <c r="AF61" s="574" t="str">
        <f t="shared" si="16"/>
        <v/>
      </c>
      <c r="AG61" s="574" t="str">
        <f t="shared" si="16"/>
        <v/>
      </c>
      <c r="AH61" s="574" t="str">
        <f t="shared" si="16"/>
        <v/>
      </c>
      <c r="AI61" s="574" t="str">
        <f t="shared" si="16"/>
        <v/>
      </c>
      <c r="AJ61" s="574" t="str">
        <f t="shared" si="16"/>
        <v/>
      </c>
      <c r="AK61" s="574" t="str">
        <f t="shared" si="16"/>
        <v/>
      </c>
      <c r="AL61" s="574" t="str">
        <f t="shared" si="16"/>
        <v/>
      </c>
      <c r="AM61" s="574" t="str">
        <f t="shared" si="16"/>
        <v/>
      </c>
      <c r="AN61" s="574" t="str">
        <f t="shared" si="16"/>
        <v/>
      </c>
      <c r="AO61" s="574" t="str">
        <f t="shared" si="16"/>
        <v/>
      </c>
      <c r="AP61" s="574" t="str">
        <f t="shared" si="16"/>
        <v/>
      </c>
      <c r="AQ61" s="574" t="str">
        <f t="shared" si="16"/>
        <v/>
      </c>
      <c r="AR61" s="574" t="str">
        <f t="shared" si="19"/>
        <v/>
      </c>
      <c r="AS61" s="574" t="str">
        <f t="shared" si="19"/>
        <v/>
      </c>
      <c r="AT61" s="574" t="str">
        <f t="shared" si="19"/>
        <v/>
      </c>
      <c r="AU61" s="574" t="str">
        <f t="shared" si="19"/>
        <v/>
      </c>
      <c r="AV61" s="574" t="str">
        <f t="shared" si="19"/>
        <v/>
      </c>
      <c r="AW61" s="574" t="str">
        <f t="shared" si="19"/>
        <v/>
      </c>
      <c r="AX61" s="574" t="str">
        <f t="shared" si="19"/>
        <v/>
      </c>
      <c r="AY61" s="574" t="str">
        <f t="shared" si="19"/>
        <v/>
      </c>
      <c r="AZ61" s="574" t="str">
        <f t="shared" si="19"/>
        <v/>
      </c>
      <c r="BA61" s="574" t="str">
        <f t="shared" si="19"/>
        <v/>
      </c>
      <c r="BB61" s="574" t="str">
        <f t="shared" si="19"/>
        <v/>
      </c>
      <c r="BC61" s="574" t="str">
        <f t="shared" si="19"/>
        <v/>
      </c>
      <c r="BD61" s="574" t="str">
        <f t="shared" si="19"/>
        <v/>
      </c>
      <c r="BE61" s="574" t="str">
        <f t="shared" si="19"/>
        <v/>
      </c>
      <c r="BF61" s="574" t="str">
        <f t="shared" si="19"/>
        <v/>
      </c>
      <c r="BG61" s="574" t="str">
        <f t="shared" si="19"/>
        <v/>
      </c>
      <c r="BH61" s="574" t="str">
        <f t="shared" si="18"/>
        <v/>
      </c>
      <c r="BI61" s="510">
        <f t="shared" si="1"/>
        <v>55</v>
      </c>
      <c r="BJ61" s="631">
        <f t="shared" si="3"/>
        <v>0</v>
      </c>
      <c r="BK61" s="632" t="str">
        <f t="shared" si="4"/>
        <v>0 to &lt;= 50 ML Contaminated, Unlined, Native</v>
      </c>
    </row>
    <row r="62" spans="1:63">
      <c r="A62" s="532"/>
      <c r="B62" s="562">
        <f t="shared" si="5"/>
        <v>54</v>
      </c>
      <c r="C62" s="138"/>
      <c r="D62" s="591"/>
      <c r="E62" s="57" t="str">
        <f t="shared" si="11"/>
        <v>Contaminated</v>
      </c>
      <c r="F62" s="57" t="s">
        <v>187</v>
      </c>
      <c r="G62" s="57" t="str">
        <f t="shared" si="6"/>
        <v>Arid</v>
      </c>
      <c r="H62" s="57" t="str">
        <f t="shared" si="10"/>
        <v>Unlined</v>
      </c>
      <c r="I62" s="57" t="s">
        <v>1990</v>
      </c>
      <c r="J62" s="67"/>
      <c r="K62" s="55"/>
      <c r="L62" s="494"/>
      <c r="M62" s="574" t="str">
        <f t="shared" si="17"/>
        <v/>
      </c>
      <c r="N62" s="574" t="str">
        <f t="shared" si="17"/>
        <v/>
      </c>
      <c r="O62" s="574" t="str">
        <f t="shared" si="17"/>
        <v/>
      </c>
      <c r="P62" s="574" t="str">
        <f t="shared" si="17"/>
        <v/>
      </c>
      <c r="Q62" s="574" t="str">
        <f t="shared" si="17"/>
        <v/>
      </c>
      <c r="R62" s="574">
        <f t="shared" si="17"/>
        <v>0</v>
      </c>
      <c r="S62" s="574" t="str">
        <f t="shared" si="17"/>
        <v/>
      </c>
      <c r="T62" s="574" t="str">
        <f t="shared" si="17"/>
        <v/>
      </c>
      <c r="U62" s="574" t="str">
        <f t="shared" si="17"/>
        <v/>
      </c>
      <c r="V62" s="574" t="str">
        <f t="shared" si="17"/>
        <v/>
      </c>
      <c r="W62" s="574" t="str">
        <f t="shared" si="17"/>
        <v/>
      </c>
      <c r="X62" s="574" t="str">
        <f t="shared" si="17"/>
        <v/>
      </c>
      <c r="Y62" s="574" t="str">
        <f t="shared" si="17"/>
        <v/>
      </c>
      <c r="Z62" s="574" t="str">
        <f t="shared" si="17"/>
        <v/>
      </c>
      <c r="AA62" s="574" t="str">
        <f t="shared" si="17"/>
        <v/>
      </c>
      <c r="AB62" s="574" t="str">
        <f t="shared" ref="AB62:AQ70" si="21">IF($BK62=AB$7,$K62,"")</f>
        <v/>
      </c>
      <c r="AC62" s="574" t="str">
        <f t="shared" si="21"/>
        <v/>
      </c>
      <c r="AD62" s="574" t="str">
        <f t="shared" si="21"/>
        <v/>
      </c>
      <c r="AE62" s="574" t="str">
        <f t="shared" si="21"/>
        <v/>
      </c>
      <c r="AF62" s="574" t="str">
        <f t="shared" si="21"/>
        <v/>
      </c>
      <c r="AG62" s="574" t="str">
        <f t="shared" si="21"/>
        <v/>
      </c>
      <c r="AH62" s="574" t="str">
        <f t="shared" si="21"/>
        <v/>
      </c>
      <c r="AI62" s="574" t="str">
        <f t="shared" si="21"/>
        <v/>
      </c>
      <c r="AJ62" s="574" t="str">
        <f t="shared" si="21"/>
        <v/>
      </c>
      <c r="AK62" s="574" t="str">
        <f t="shared" si="21"/>
        <v/>
      </c>
      <c r="AL62" s="574" t="str">
        <f t="shared" si="21"/>
        <v/>
      </c>
      <c r="AM62" s="574" t="str">
        <f t="shared" si="21"/>
        <v/>
      </c>
      <c r="AN62" s="574" t="str">
        <f t="shared" si="21"/>
        <v/>
      </c>
      <c r="AO62" s="574" t="str">
        <f t="shared" si="21"/>
        <v/>
      </c>
      <c r="AP62" s="574" t="str">
        <f t="shared" si="21"/>
        <v/>
      </c>
      <c r="AQ62" s="574" t="str">
        <f t="shared" si="21"/>
        <v/>
      </c>
      <c r="AR62" s="574" t="str">
        <f t="shared" si="19"/>
        <v/>
      </c>
      <c r="AS62" s="574" t="str">
        <f t="shared" si="19"/>
        <v/>
      </c>
      <c r="AT62" s="574" t="str">
        <f t="shared" si="19"/>
        <v/>
      </c>
      <c r="AU62" s="574" t="str">
        <f t="shared" si="19"/>
        <v/>
      </c>
      <c r="AV62" s="574" t="str">
        <f t="shared" si="19"/>
        <v/>
      </c>
      <c r="AW62" s="574" t="str">
        <f t="shared" si="19"/>
        <v/>
      </c>
      <c r="AX62" s="574" t="str">
        <f t="shared" si="19"/>
        <v/>
      </c>
      <c r="AY62" s="574" t="str">
        <f t="shared" si="19"/>
        <v/>
      </c>
      <c r="AZ62" s="574" t="str">
        <f t="shared" si="19"/>
        <v/>
      </c>
      <c r="BA62" s="574" t="str">
        <f t="shared" si="19"/>
        <v/>
      </c>
      <c r="BB62" s="574" t="str">
        <f t="shared" si="19"/>
        <v/>
      </c>
      <c r="BC62" s="574" t="str">
        <f t="shared" si="19"/>
        <v/>
      </c>
      <c r="BD62" s="574" t="str">
        <f t="shared" si="19"/>
        <v/>
      </c>
      <c r="BE62" s="574" t="str">
        <f t="shared" si="19"/>
        <v/>
      </c>
      <c r="BF62" s="574" t="str">
        <f t="shared" si="19"/>
        <v/>
      </c>
      <c r="BG62" s="574" t="str">
        <f t="shared" si="19"/>
        <v/>
      </c>
      <c r="BH62" s="574" t="str">
        <f t="shared" si="18"/>
        <v/>
      </c>
      <c r="BI62" s="510">
        <f t="shared" si="1"/>
        <v>56</v>
      </c>
      <c r="BJ62" s="631">
        <f t="shared" si="3"/>
        <v>0</v>
      </c>
      <c r="BK62" s="632" t="str">
        <f t="shared" si="4"/>
        <v>0 to &lt;= 50 ML Contaminated, Unlined, Arid</v>
      </c>
    </row>
    <row r="63" spans="1:63">
      <c r="A63" s="532"/>
      <c r="B63" s="562">
        <f t="shared" si="5"/>
        <v>55</v>
      </c>
      <c r="C63" s="138"/>
      <c r="D63" s="591"/>
      <c r="E63" s="57" t="str">
        <f t="shared" si="11"/>
        <v>Clean</v>
      </c>
      <c r="F63" s="57" t="s">
        <v>187</v>
      </c>
      <c r="G63" s="57" t="str">
        <f t="shared" si="6"/>
        <v>Pasture</v>
      </c>
      <c r="H63" s="57" t="str">
        <f t="shared" si="10"/>
        <v>Lined</v>
      </c>
      <c r="I63" s="57" t="s">
        <v>1990</v>
      </c>
      <c r="J63" s="67"/>
      <c r="K63" s="55"/>
      <c r="L63" s="494"/>
      <c r="M63" s="574" t="str">
        <f t="shared" ref="M63:AB70" si="22">IF($BK63=M$7,$K63,"")</f>
        <v/>
      </c>
      <c r="N63" s="574" t="str">
        <f t="shared" si="22"/>
        <v/>
      </c>
      <c r="O63" s="574" t="str">
        <f t="shared" si="22"/>
        <v/>
      </c>
      <c r="P63" s="574" t="str">
        <f t="shared" si="22"/>
        <v/>
      </c>
      <c r="Q63" s="574" t="str">
        <f t="shared" si="22"/>
        <v/>
      </c>
      <c r="R63" s="574" t="str">
        <f t="shared" si="22"/>
        <v/>
      </c>
      <c r="S63" s="574">
        <f t="shared" si="22"/>
        <v>0</v>
      </c>
      <c r="T63" s="574" t="str">
        <f t="shared" si="22"/>
        <v/>
      </c>
      <c r="U63" s="574" t="str">
        <f t="shared" si="22"/>
        <v/>
      </c>
      <c r="V63" s="574" t="str">
        <f t="shared" si="22"/>
        <v/>
      </c>
      <c r="W63" s="574" t="str">
        <f t="shared" si="22"/>
        <v/>
      </c>
      <c r="X63" s="574" t="str">
        <f t="shared" si="22"/>
        <v/>
      </c>
      <c r="Y63" s="574" t="str">
        <f t="shared" si="22"/>
        <v/>
      </c>
      <c r="Z63" s="574" t="str">
        <f t="shared" si="22"/>
        <v/>
      </c>
      <c r="AA63" s="574" t="str">
        <f t="shared" si="22"/>
        <v/>
      </c>
      <c r="AB63" s="574" t="str">
        <f t="shared" si="22"/>
        <v/>
      </c>
      <c r="AC63" s="574" t="str">
        <f t="shared" si="21"/>
        <v/>
      </c>
      <c r="AD63" s="574" t="str">
        <f t="shared" si="21"/>
        <v/>
      </c>
      <c r="AE63" s="574" t="str">
        <f t="shared" si="21"/>
        <v/>
      </c>
      <c r="AF63" s="574" t="str">
        <f t="shared" si="21"/>
        <v/>
      </c>
      <c r="AG63" s="574" t="str">
        <f t="shared" si="21"/>
        <v/>
      </c>
      <c r="AH63" s="574" t="str">
        <f t="shared" si="21"/>
        <v/>
      </c>
      <c r="AI63" s="574" t="str">
        <f t="shared" si="21"/>
        <v/>
      </c>
      <c r="AJ63" s="574" t="str">
        <f t="shared" si="21"/>
        <v/>
      </c>
      <c r="AK63" s="574" t="str">
        <f t="shared" si="21"/>
        <v/>
      </c>
      <c r="AL63" s="574" t="str">
        <f t="shared" si="21"/>
        <v/>
      </c>
      <c r="AM63" s="574" t="str">
        <f t="shared" si="21"/>
        <v/>
      </c>
      <c r="AN63" s="574" t="str">
        <f t="shared" si="21"/>
        <v/>
      </c>
      <c r="AO63" s="574" t="str">
        <f t="shared" si="21"/>
        <v/>
      </c>
      <c r="AP63" s="574" t="str">
        <f t="shared" si="21"/>
        <v/>
      </c>
      <c r="AQ63" s="574" t="str">
        <f t="shared" si="21"/>
        <v/>
      </c>
      <c r="AR63" s="574" t="str">
        <f t="shared" si="19"/>
        <v/>
      </c>
      <c r="AS63" s="574" t="str">
        <f t="shared" si="19"/>
        <v/>
      </c>
      <c r="AT63" s="574" t="str">
        <f t="shared" si="19"/>
        <v/>
      </c>
      <c r="AU63" s="574" t="str">
        <f t="shared" si="19"/>
        <v/>
      </c>
      <c r="AV63" s="574" t="str">
        <f t="shared" si="19"/>
        <v/>
      </c>
      <c r="AW63" s="574" t="str">
        <f t="shared" si="19"/>
        <v/>
      </c>
      <c r="AX63" s="574" t="str">
        <f t="shared" si="19"/>
        <v/>
      </c>
      <c r="AY63" s="574" t="str">
        <f t="shared" si="19"/>
        <v/>
      </c>
      <c r="AZ63" s="574" t="str">
        <f t="shared" si="19"/>
        <v/>
      </c>
      <c r="BA63" s="574" t="str">
        <f t="shared" si="19"/>
        <v/>
      </c>
      <c r="BB63" s="574" t="str">
        <f t="shared" si="19"/>
        <v/>
      </c>
      <c r="BC63" s="574" t="str">
        <f t="shared" si="19"/>
        <v/>
      </c>
      <c r="BD63" s="574" t="str">
        <f t="shared" si="19"/>
        <v/>
      </c>
      <c r="BE63" s="574" t="str">
        <f t="shared" si="19"/>
        <v/>
      </c>
      <c r="BF63" s="574" t="str">
        <f t="shared" si="19"/>
        <v/>
      </c>
      <c r="BG63" s="574" t="str">
        <f t="shared" si="19"/>
        <v/>
      </c>
      <c r="BH63" s="574" t="str">
        <f t="shared" si="18"/>
        <v/>
      </c>
      <c r="BI63" s="510">
        <f t="shared" si="1"/>
        <v>57</v>
      </c>
      <c r="BJ63" s="631">
        <f t="shared" si="3"/>
        <v>0</v>
      </c>
      <c r="BK63" s="632" t="str">
        <f t="shared" si="4"/>
        <v>0 to &lt;= 50 ML Clean, Lined, Pasture</v>
      </c>
    </row>
    <row r="64" spans="1:63">
      <c r="A64" s="532"/>
      <c r="B64" s="562">
        <f t="shared" si="5"/>
        <v>56</v>
      </c>
      <c r="C64" s="138"/>
      <c r="D64" s="591"/>
      <c r="E64" s="57" t="str">
        <f t="shared" si="11"/>
        <v>Clean</v>
      </c>
      <c r="F64" s="57" t="s">
        <v>187</v>
      </c>
      <c r="G64" s="57" t="str">
        <f t="shared" si="6"/>
        <v>Native</v>
      </c>
      <c r="H64" s="57" t="str">
        <f t="shared" si="10"/>
        <v>Lined</v>
      </c>
      <c r="I64" s="57" t="s">
        <v>1990</v>
      </c>
      <c r="J64" s="67"/>
      <c r="K64" s="55"/>
      <c r="L64" s="494"/>
      <c r="M64" s="574" t="str">
        <f t="shared" si="22"/>
        <v/>
      </c>
      <c r="N64" s="574" t="str">
        <f t="shared" si="22"/>
        <v/>
      </c>
      <c r="O64" s="574" t="str">
        <f t="shared" si="22"/>
        <v/>
      </c>
      <c r="P64" s="574" t="str">
        <f t="shared" si="22"/>
        <v/>
      </c>
      <c r="Q64" s="574" t="str">
        <f t="shared" si="22"/>
        <v/>
      </c>
      <c r="R64" s="574" t="str">
        <f t="shared" si="22"/>
        <v/>
      </c>
      <c r="S64" s="574" t="str">
        <f t="shared" si="22"/>
        <v/>
      </c>
      <c r="T64" s="574">
        <f t="shared" si="22"/>
        <v>0</v>
      </c>
      <c r="U64" s="574" t="str">
        <f t="shared" si="22"/>
        <v/>
      </c>
      <c r="V64" s="574" t="str">
        <f t="shared" si="22"/>
        <v/>
      </c>
      <c r="W64" s="574" t="str">
        <f t="shared" si="22"/>
        <v/>
      </c>
      <c r="X64" s="574" t="str">
        <f t="shared" si="22"/>
        <v/>
      </c>
      <c r="Y64" s="574" t="str">
        <f t="shared" si="22"/>
        <v/>
      </c>
      <c r="Z64" s="574" t="str">
        <f t="shared" si="22"/>
        <v/>
      </c>
      <c r="AA64" s="574" t="str">
        <f t="shared" si="22"/>
        <v/>
      </c>
      <c r="AB64" s="574" t="str">
        <f t="shared" si="22"/>
        <v/>
      </c>
      <c r="AC64" s="574" t="str">
        <f t="shared" si="21"/>
        <v/>
      </c>
      <c r="AD64" s="574" t="str">
        <f t="shared" si="21"/>
        <v/>
      </c>
      <c r="AE64" s="574" t="str">
        <f t="shared" si="21"/>
        <v/>
      </c>
      <c r="AF64" s="574" t="str">
        <f t="shared" si="21"/>
        <v/>
      </c>
      <c r="AG64" s="574" t="str">
        <f t="shared" si="21"/>
        <v/>
      </c>
      <c r="AH64" s="574" t="str">
        <f t="shared" si="21"/>
        <v/>
      </c>
      <c r="AI64" s="574" t="str">
        <f t="shared" si="21"/>
        <v/>
      </c>
      <c r="AJ64" s="574" t="str">
        <f t="shared" si="21"/>
        <v/>
      </c>
      <c r="AK64" s="574" t="str">
        <f t="shared" si="21"/>
        <v/>
      </c>
      <c r="AL64" s="574" t="str">
        <f t="shared" si="21"/>
        <v/>
      </c>
      <c r="AM64" s="574" t="str">
        <f t="shared" si="21"/>
        <v/>
      </c>
      <c r="AN64" s="574" t="str">
        <f t="shared" si="21"/>
        <v/>
      </c>
      <c r="AO64" s="574" t="str">
        <f t="shared" si="21"/>
        <v/>
      </c>
      <c r="AP64" s="574" t="str">
        <f t="shared" si="21"/>
        <v/>
      </c>
      <c r="AQ64" s="574" t="str">
        <f t="shared" si="21"/>
        <v/>
      </c>
      <c r="AR64" s="574" t="str">
        <f t="shared" si="19"/>
        <v/>
      </c>
      <c r="AS64" s="574" t="str">
        <f t="shared" si="19"/>
        <v/>
      </c>
      <c r="AT64" s="574" t="str">
        <f t="shared" si="19"/>
        <v/>
      </c>
      <c r="AU64" s="574" t="str">
        <f t="shared" si="19"/>
        <v/>
      </c>
      <c r="AV64" s="574" t="str">
        <f t="shared" si="19"/>
        <v/>
      </c>
      <c r="AW64" s="574" t="str">
        <f t="shared" si="19"/>
        <v/>
      </c>
      <c r="AX64" s="574" t="str">
        <f t="shared" si="19"/>
        <v/>
      </c>
      <c r="AY64" s="574" t="str">
        <f t="shared" si="19"/>
        <v/>
      </c>
      <c r="AZ64" s="574" t="str">
        <f t="shared" si="19"/>
        <v/>
      </c>
      <c r="BA64" s="574" t="str">
        <f t="shared" si="19"/>
        <v/>
      </c>
      <c r="BB64" s="574" t="str">
        <f t="shared" si="19"/>
        <v/>
      </c>
      <c r="BC64" s="574" t="str">
        <f t="shared" si="19"/>
        <v/>
      </c>
      <c r="BD64" s="574" t="str">
        <f t="shared" si="19"/>
        <v/>
      </c>
      <c r="BE64" s="574" t="str">
        <f t="shared" si="19"/>
        <v/>
      </c>
      <c r="BF64" s="574" t="str">
        <f t="shared" si="19"/>
        <v/>
      </c>
      <c r="BG64" s="574" t="str">
        <f t="shared" si="19"/>
        <v/>
      </c>
      <c r="BH64" s="574" t="str">
        <f t="shared" si="18"/>
        <v/>
      </c>
      <c r="BI64" s="510">
        <f t="shared" si="1"/>
        <v>58</v>
      </c>
      <c r="BJ64" s="631">
        <f t="shared" si="3"/>
        <v>0</v>
      </c>
      <c r="BK64" s="632" t="str">
        <f t="shared" si="4"/>
        <v>0 to &lt;= 50 ML Clean, Lined, Native</v>
      </c>
    </row>
    <row r="65" spans="1:63">
      <c r="A65" s="532"/>
      <c r="B65" s="562">
        <f t="shared" si="5"/>
        <v>57</v>
      </c>
      <c r="C65" s="138"/>
      <c r="D65" s="591"/>
      <c r="E65" s="57" t="str">
        <f t="shared" si="11"/>
        <v>Clean</v>
      </c>
      <c r="F65" s="57" t="s">
        <v>187</v>
      </c>
      <c r="G65" s="57" t="str">
        <f t="shared" si="6"/>
        <v>Arid</v>
      </c>
      <c r="H65" s="57" t="str">
        <f t="shared" si="10"/>
        <v>Lined</v>
      </c>
      <c r="I65" s="57" t="s">
        <v>1990</v>
      </c>
      <c r="J65" s="67"/>
      <c r="K65" s="55"/>
      <c r="L65" s="494"/>
      <c r="M65" s="574" t="str">
        <f t="shared" si="22"/>
        <v/>
      </c>
      <c r="N65" s="574" t="str">
        <f t="shared" si="22"/>
        <v/>
      </c>
      <c r="O65" s="574" t="str">
        <f t="shared" si="22"/>
        <v/>
      </c>
      <c r="P65" s="574" t="str">
        <f t="shared" si="22"/>
        <v/>
      </c>
      <c r="Q65" s="574" t="str">
        <f t="shared" si="22"/>
        <v/>
      </c>
      <c r="R65" s="574" t="str">
        <f t="shared" si="22"/>
        <v/>
      </c>
      <c r="S65" s="574" t="str">
        <f t="shared" si="22"/>
        <v/>
      </c>
      <c r="T65" s="574" t="str">
        <f t="shared" si="22"/>
        <v/>
      </c>
      <c r="U65" s="574">
        <f t="shared" si="22"/>
        <v>0</v>
      </c>
      <c r="V65" s="574" t="str">
        <f t="shared" si="22"/>
        <v/>
      </c>
      <c r="W65" s="574" t="str">
        <f t="shared" si="22"/>
        <v/>
      </c>
      <c r="X65" s="574" t="str">
        <f t="shared" si="22"/>
        <v/>
      </c>
      <c r="Y65" s="574" t="str">
        <f t="shared" si="22"/>
        <v/>
      </c>
      <c r="Z65" s="574" t="str">
        <f t="shared" si="22"/>
        <v/>
      </c>
      <c r="AA65" s="574" t="str">
        <f t="shared" si="22"/>
        <v/>
      </c>
      <c r="AB65" s="574" t="str">
        <f t="shared" si="22"/>
        <v/>
      </c>
      <c r="AC65" s="574" t="str">
        <f t="shared" si="21"/>
        <v/>
      </c>
      <c r="AD65" s="574" t="str">
        <f t="shared" si="21"/>
        <v/>
      </c>
      <c r="AE65" s="574" t="str">
        <f t="shared" si="21"/>
        <v/>
      </c>
      <c r="AF65" s="574" t="str">
        <f t="shared" si="21"/>
        <v/>
      </c>
      <c r="AG65" s="574" t="str">
        <f t="shared" si="21"/>
        <v/>
      </c>
      <c r="AH65" s="574" t="str">
        <f t="shared" si="21"/>
        <v/>
      </c>
      <c r="AI65" s="574" t="str">
        <f t="shared" si="21"/>
        <v/>
      </c>
      <c r="AJ65" s="574" t="str">
        <f t="shared" si="21"/>
        <v/>
      </c>
      <c r="AK65" s="574" t="str">
        <f t="shared" si="21"/>
        <v/>
      </c>
      <c r="AL65" s="574" t="str">
        <f t="shared" si="21"/>
        <v/>
      </c>
      <c r="AM65" s="574" t="str">
        <f t="shared" si="21"/>
        <v/>
      </c>
      <c r="AN65" s="574" t="str">
        <f t="shared" si="21"/>
        <v/>
      </c>
      <c r="AO65" s="574" t="str">
        <f t="shared" si="21"/>
        <v/>
      </c>
      <c r="AP65" s="574" t="str">
        <f t="shared" si="21"/>
        <v/>
      </c>
      <c r="AQ65" s="574" t="str">
        <f t="shared" si="21"/>
        <v/>
      </c>
      <c r="AR65" s="574" t="str">
        <f t="shared" si="19"/>
        <v/>
      </c>
      <c r="AS65" s="574" t="str">
        <f t="shared" si="19"/>
        <v/>
      </c>
      <c r="AT65" s="574" t="str">
        <f t="shared" si="19"/>
        <v/>
      </c>
      <c r="AU65" s="574" t="str">
        <f t="shared" si="19"/>
        <v/>
      </c>
      <c r="AV65" s="574" t="str">
        <f t="shared" si="19"/>
        <v/>
      </c>
      <c r="AW65" s="574" t="str">
        <f t="shared" si="19"/>
        <v/>
      </c>
      <c r="AX65" s="574" t="str">
        <f t="shared" si="19"/>
        <v/>
      </c>
      <c r="AY65" s="574" t="str">
        <f t="shared" si="19"/>
        <v/>
      </c>
      <c r="AZ65" s="574" t="str">
        <f t="shared" si="19"/>
        <v/>
      </c>
      <c r="BA65" s="574" t="str">
        <f t="shared" si="19"/>
        <v/>
      </c>
      <c r="BB65" s="574" t="str">
        <f t="shared" si="19"/>
        <v/>
      </c>
      <c r="BC65" s="574" t="str">
        <f t="shared" si="19"/>
        <v/>
      </c>
      <c r="BD65" s="574" t="str">
        <f t="shared" si="19"/>
        <v/>
      </c>
      <c r="BE65" s="574" t="str">
        <f t="shared" si="19"/>
        <v/>
      </c>
      <c r="BF65" s="574" t="str">
        <f t="shared" si="19"/>
        <v/>
      </c>
      <c r="BG65" s="574" t="str">
        <f t="shared" si="19"/>
        <v/>
      </c>
      <c r="BH65" s="574" t="str">
        <f t="shared" si="18"/>
        <v/>
      </c>
      <c r="BI65" s="510">
        <f t="shared" si="1"/>
        <v>59</v>
      </c>
      <c r="BJ65" s="631">
        <f t="shared" si="3"/>
        <v>0</v>
      </c>
      <c r="BK65" s="632" t="str">
        <f t="shared" si="4"/>
        <v>0 to &lt;= 50 ML Clean, Lined, Arid</v>
      </c>
    </row>
    <row r="66" spans="1:63">
      <c r="A66" s="532"/>
      <c r="B66" s="562">
        <f t="shared" si="5"/>
        <v>58</v>
      </c>
      <c r="C66" s="138"/>
      <c r="D66" s="591"/>
      <c r="E66" s="57" t="str">
        <f t="shared" si="11"/>
        <v>Clean</v>
      </c>
      <c r="F66" s="57" t="s">
        <v>187</v>
      </c>
      <c r="G66" s="57" t="str">
        <f t="shared" si="6"/>
        <v>Pasture</v>
      </c>
      <c r="H66" s="57" t="s">
        <v>193</v>
      </c>
      <c r="I66" s="57" t="s">
        <v>1990</v>
      </c>
      <c r="J66" s="67"/>
      <c r="K66" s="55"/>
      <c r="L66" s="494"/>
      <c r="M66" s="574" t="str">
        <f t="shared" si="22"/>
        <v/>
      </c>
      <c r="N66" s="574" t="str">
        <f t="shared" si="22"/>
        <v/>
      </c>
      <c r="O66" s="574" t="str">
        <f t="shared" si="22"/>
        <v/>
      </c>
      <c r="P66" s="574" t="str">
        <f t="shared" si="22"/>
        <v/>
      </c>
      <c r="Q66" s="574" t="str">
        <f t="shared" si="22"/>
        <v/>
      </c>
      <c r="R66" s="574" t="str">
        <f t="shared" si="22"/>
        <v/>
      </c>
      <c r="S66" s="574" t="str">
        <f t="shared" si="22"/>
        <v/>
      </c>
      <c r="T66" s="574" t="str">
        <f t="shared" si="22"/>
        <v/>
      </c>
      <c r="U66" s="574" t="str">
        <f t="shared" si="22"/>
        <v/>
      </c>
      <c r="V66" s="574">
        <f t="shared" si="22"/>
        <v>0</v>
      </c>
      <c r="W66" s="574" t="str">
        <f t="shared" si="22"/>
        <v/>
      </c>
      <c r="X66" s="574" t="str">
        <f t="shared" si="22"/>
        <v/>
      </c>
      <c r="Y66" s="574" t="str">
        <f t="shared" si="22"/>
        <v/>
      </c>
      <c r="Z66" s="574" t="str">
        <f t="shared" si="22"/>
        <v/>
      </c>
      <c r="AA66" s="574" t="str">
        <f t="shared" si="22"/>
        <v/>
      </c>
      <c r="AB66" s="574" t="str">
        <f t="shared" si="22"/>
        <v/>
      </c>
      <c r="AC66" s="574" t="str">
        <f t="shared" si="21"/>
        <v/>
      </c>
      <c r="AD66" s="574" t="str">
        <f t="shared" si="21"/>
        <v/>
      </c>
      <c r="AE66" s="574" t="str">
        <f t="shared" si="21"/>
        <v/>
      </c>
      <c r="AF66" s="574" t="str">
        <f t="shared" si="21"/>
        <v/>
      </c>
      <c r="AG66" s="574" t="str">
        <f t="shared" si="21"/>
        <v/>
      </c>
      <c r="AH66" s="574" t="str">
        <f t="shared" si="21"/>
        <v/>
      </c>
      <c r="AI66" s="574" t="str">
        <f t="shared" si="21"/>
        <v/>
      </c>
      <c r="AJ66" s="574" t="str">
        <f t="shared" si="21"/>
        <v/>
      </c>
      <c r="AK66" s="574" t="str">
        <f t="shared" si="21"/>
        <v/>
      </c>
      <c r="AL66" s="574" t="str">
        <f t="shared" si="21"/>
        <v/>
      </c>
      <c r="AM66" s="574" t="str">
        <f t="shared" si="21"/>
        <v/>
      </c>
      <c r="AN66" s="574" t="str">
        <f t="shared" si="21"/>
        <v/>
      </c>
      <c r="AO66" s="574" t="str">
        <f t="shared" si="21"/>
        <v/>
      </c>
      <c r="AP66" s="574" t="str">
        <f t="shared" si="21"/>
        <v/>
      </c>
      <c r="AQ66" s="574" t="str">
        <f t="shared" si="21"/>
        <v/>
      </c>
      <c r="AR66" s="574" t="str">
        <f t="shared" si="19"/>
        <v/>
      </c>
      <c r="AS66" s="574" t="str">
        <f t="shared" si="19"/>
        <v/>
      </c>
      <c r="AT66" s="574" t="str">
        <f t="shared" si="19"/>
        <v/>
      </c>
      <c r="AU66" s="574" t="str">
        <f t="shared" si="19"/>
        <v/>
      </c>
      <c r="AV66" s="574" t="str">
        <f t="shared" si="19"/>
        <v/>
      </c>
      <c r="AW66" s="574" t="str">
        <f t="shared" si="19"/>
        <v/>
      </c>
      <c r="AX66" s="574" t="str">
        <f t="shared" si="19"/>
        <v/>
      </c>
      <c r="AY66" s="574" t="str">
        <f t="shared" si="19"/>
        <v/>
      </c>
      <c r="AZ66" s="574" t="str">
        <f t="shared" si="19"/>
        <v/>
      </c>
      <c r="BA66" s="574" t="str">
        <f t="shared" si="19"/>
        <v/>
      </c>
      <c r="BB66" s="574" t="str">
        <f t="shared" si="19"/>
        <v/>
      </c>
      <c r="BC66" s="574" t="str">
        <f t="shared" si="19"/>
        <v/>
      </c>
      <c r="BD66" s="574" t="str">
        <f t="shared" si="19"/>
        <v/>
      </c>
      <c r="BE66" s="574" t="str">
        <f t="shared" si="19"/>
        <v/>
      </c>
      <c r="BF66" s="574" t="str">
        <f t="shared" si="19"/>
        <v/>
      </c>
      <c r="BG66" s="574" t="str">
        <f t="shared" ref="BG66:BH70" si="23">IF($BK66=BG$7,$K66,"")</f>
        <v/>
      </c>
      <c r="BH66" s="574" t="str">
        <f t="shared" si="23"/>
        <v/>
      </c>
      <c r="BI66" s="510">
        <f t="shared" si="1"/>
        <v>60</v>
      </c>
      <c r="BJ66" s="631">
        <f t="shared" si="3"/>
        <v>0</v>
      </c>
      <c r="BK66" s="632" t="str">
        <f t="shared" si="4"/>
        <v>0 to &lt;= 50 ML Clean, Unlined, Pasture</v>
      </c>
    </row>
    <row r="67" spans="1:63">
      <c r="A67" s="532"/>
      <c r="B67" s="562">
        <f t="shared" si="5"/>
        <v>59</v>
      </c>
      <c r="C67" s="138"/>
      <c r="D67" s="591"/>
      <c r="E67" s="57" t="str">
        <f t="shared" si="11"/>
        <v>Clean</v>
      </c>
      <c r="F67" s="57" t="s">
        <v>187</v>
      </c>
      <c r="G67" s="57" t="s">
        <v>124</v>
      </c>
      <c r="H67" s="57" t="s">
        <v>193</v>
      </c>
      <c r="I67" s="57" t="s">
        <v>1990</v>
      </c>
      <c r="J67" s="67"/>
      <c r="K67" s="55"/>
      <c r="L67" s="494"/>
      <c r="M67" s="574" t="str">
        <f t="shared" si="22"/>
        <v/>
      </c>
      <c r="N67" s="574" t="str">
        <f t="shared" si="22"/>
        <v/>
      </c>
      <c r="O67" s="574" t="str">
        <f t="shared" si="22"/>
        <v/>
      </c>
      <c r="P67" s="574" t="str">
        <f t="shared" si="22"/>
        <v/>
      </c>
      <c r="Q67" s="574" t="str">
        <f t="shared" si="22"/>
        <v/>
      </c>
      <c r="R67" s="574" t="str">
        <f t="shared" si="22"/>
        <v/>
      </c>
      <c r="S67" s="574" t="str">
        <f t="shared" si="22"/>
        <v/>
      </c>
      <c r="T67" s="574" t="str">
        <f t="shared" si="22"/>
        <v/>
      </c>
      <c r="U67" s="574" t="str">
        <f t="shared" si="22"/>
        <v/>
      </c>
      <c r="V67" s="574">
        <f t="shared" si="22"/>
        <v>0</v>
      </c>
      <c r="W67" s="574" t="str">
        <f t="shared" si="22"/>
        <v/>
      </c>
      <c r="X67" s="574" t="str">
        <f t="shared" si="22"/>
        <v/>
      </c>
      <c r="Y67" s="574" t="str">
        <f t="shared" si="22"/>
        <v/>
      </c>
      <c r="Z67" s="574" t="str">
        <f t="shared" si="22"/>
        <v/>
      </c>
      <c r="AA67" s="574" t="str">
        <f t="shared" si="22"/>
        <v/>
      </c>
      <c r="AB67" s="574" t="str">
        <f t="shared" si="22"/>
        <v/>
      </c>
      <c r="AC67" s="574" t="str">
        <f t="shared" si="21"/>
        <v/>
      </c>
      <c r="AD67" s="574" t="str">
        <f t="shared" si="21"/>
        <v/>
      </c>
      <c r="AE67" s="574" t="str">
        <f t="shared" si="21"/>
        <v/>
      </c>
      <c r="AF67" s="574" t="str">
        <f t="shared" si="21"/>
        <v/>
      </c>
      <c r="AG67" s="574" t="str">
        <f t="shared" si="21"/>
        <v/>
      </c>
      <c r="AH67" s="574" t="str">
        <f t="shared" si="21"/>
        <v/>
      </c>
      <c r="AI67" s="574" t="str">
        <f t="shared" si="21"/>
        <v/>
      </c>
      <c r="AJ67" s="574" t="str">
        <f t="shared" si="21"/>
        <v/>
      </c>
      <c r="AK67" s="574" t="str">
        <f t="shared" si="21"/>
        <v/>
      </c>
      <c r="AL67" s="574" t="str">
        <f t="shared" si="21"/>
        <v/>
      </c>
      <c r="AM67" s="574" t="str">
        <f t="shared" si="21"/>
        <v/>
      </c>
      <c r="AN67" s="574" t="str">
        <f t="shared" si="21"/>
        <v/>
      </c>
      <c r="AO67" s="574" t="str">
        <f t="shared" si="21"/>
        <v/>
      </c>
      <c r="AP67" s="574" t="str">
        <f t="shared" si="21"/>
        <v/>
      </c>
      <c r="AQ67" s="574" t="str">
        <f t="shared" si="21"/>
        <v/>
      </c>
      <c r="AR67" s="574" t="str">
        <f t="shared" ref="AR67:BG70" si="24">IF($BK67=AR$7,$K67,"")</f>
        <v/>
      </c>
      <c r="AS67" s="574" t="str">
        <f t="shared" si="24"/>
        <v/>
      </c>
      <c r="AT67" s="574" t="str">
        <f t="shared" si="24"/>
        <v/>
      </c>
      <c r="AU67" s="574" t="str">
        <f t="shared" si="24"/>
        <v/>
      </c>
      <c r="AV67" s="574" t="str">
        <f t="shared" si="24"/>
        <v/>
      </c>
      <c r="AW67" s="574" t="str">
        <f t="shared" si="24"/>
        <v/>
      </c>
      <c r="AX67" s="574" t="str">
        <f t="shared" si="24"/>
        <v/>
      </c>
      <c r="AY67" s="574" t="str">
        <f t="shared" si="24"/>
        <v/>
      </c>
      <c r="AZ67" s="574" t="str">
        <f t="shared" si="24"/>
        <v/>
      </c>
      <c r="BA67" s="574" t="str">
        <f t="shared" si="24"/>
        <v/>
      </c>
      <c r="BB67" s="574" t="str">
        <f t="shared" si="24"/>
        <v/>
      </c>
      <c r="BC67" s="574" t="str">
        <f t="shared" si="24"/>
        <v/>
      </c>
      <c r="BD67" s="574" t="str">
        <f t="shared" si="24"/>
        <v/>
      </c>
      <c r="BE67" s="574" t="str">
        <f t="shared" si="24"/>
        <v/>
      </c>
      <c r="BF67" s="574" t="str">
        <f t="shared" si="24"/>
        <v/>
      </c>
      <c r="BG67" s="574" t="str">
        <f t="shared" si="24"/>
        <v/>
      </c>
      <c r="BH67" s="574" t="str">
        <f t="shared" si="23"/>
        <v/>
      </c>
      <c r="BI67" s="510">
        <f t="shared" si="1"/>
        <v>61</v>
      </c>
      <c r="BJ67" s="631">
        <f t="shared" si="3"/>
        <v>0</v>
      </c>
      <c r="BK67" s="632" t="str">
        <f t="shared" si="4"/>
        <v>0 to &lt;= 50 ML Clean, Unlined, Pasture</v>
      </c>
    </row>
    <row r="68" spans="1:63">
      <c r="A68" s="532"/>
      <c r="B68" s="562">
        <f t="shared" si="5"/>
        <v>60</v>
      </c>
      <c r="C68" s="138"/>
      <c r="D68" s="591"/>
      <c r="E68" s="57" t="str">
        <f t="shared" si="11"/>
        <v>Clean</v>
      </c>
      <c r="F68" s="57" t="s">
        <v>187</v>
      </c>
      <c r="G68" s="57" t="s">
        <v>124</v>
      </c>
      <c r="H68" s="57" t="s">
        <v>193</v>
      </c>
      <c r="I68" s="57" t="s">
        <v>1990</v>
      </c>
      <c r="J68" s="67"/>
      <c r="K68" s="55"/>
      <c r="L68" s="494"/>
      <c r="M68" s="574" t="str">
        <f t="shared" si="22"/>
        <v/>
      </c>
      <c r="N68" s="574" t="str">
        <f t="shared" si="22"/>
        <v/>
      </c>
      <c r="O68" s="574" t="str">
        <f t="shared" si="22"/>
        <v/>
      </c>
      <c r="P68" s="574" t="str">
        <f t="shared" si="22"/>
        <v/>
      </c>
      <c r="Q68" s="574" t="str">
        <f t="shared" si="22"/>
        <v/>
      </c>
      <c r="R68" s="574" t="str">
        <f t="shared" si="22"/>
        <v/>
      </c>
      <c r="S68" s="574" t="str">
        <f t="shared" si="22"/>
        <v/>
      </c>
      <c r="T68" s="574" t="str">
        <f t="shared" si="22"/>
        <v/>
      </c>
      <c r="U68" s="574" t="str">
        <f t="shared" si="22"/>
        <v/>
      </c>
      <c r="V68" s="574">
        <f t="shared" si="22"/>
        <v>0</v>
      </c>
      <c r="W68" s="574" t="str">
        <f t="shared" si="22"/>
        <v/>
      </c>
      <c r="X68" s="574" t="str">
        <f t="shared" si="22"/>
        <v/>
      </c>
      <c r="Y68" s="574" t="str">
        <f t="shared" si="22"/>
        <v/>
      </c>
      <c r="Z68" s="574" t="str">
        <f t="shared" si="22"/>
        <v/>
      </c>
      <c r="AA68" s="574" t="str">
        <f t="shared" si="22"/>
        <v/>
      </c>
      <c r="AB68" s="574" t="str">
        <f t="shared" si="22"/>
        <v/>
      </c>
      <c r="AC68" s="574" t="str">
        <f t="shared" si="21"/>
        <v/>
      </c>
      <c r="AD68" s="574" t="str">
        <f t="shared" si="21"/>
        <v/>
      </c>
      <c r="AE68" s="574" t="str">
        <f t="shared" si="21"/>
        <v/>
      </c>
      <c r="AF68" s="574" t="str">
        <f t="shared" si="21"/>
        <v/>
      </c>
      <c r="AG68" s="574" t="str">
        <f t="shared" si="21"/>
        <v/>
      </c>
      <c r="AH68" s="574" t="str">
        <f t="shared" si="21"/>
        <v/>
      </c>
      <c r="AI68" s="574" t="str">
        <f t="shared" si="21"/>
        <v/>
      </c>
      <c r="AJ68" s="574" t="str">
        <f t="shared" si="21"/>
        <v/>
      </c>
      <c r="AK68" s="574" t="str">
        <f t="shared" si="21"/>
        <v/>
      </c>
      <c r="AL68" s="574" t="str">
        <f t="shared" si="21"/>
        <v/>
      </c>
      <c r="AM68" s="574" t="str">
        <f t="shared" si="21"/>
        <v/>
      </c>
      <c r="AN68" s="574" t="str">
        <f t="shared" si="21"/>
        <v/>
      </c>
      <c r="AO68" s="574" t="str">
        <f t="shared" si="21"/>
        <v/>
      </c>
      <c r="AP68" s="574" t="str">
        <f t="shared" si="21"/>
        <v/>
      </c>
      <c r="AQ68" s="574" t="str">
        <f t="shared" si="21"/>
        <v/>
      </c>
      <c r="AR68" s="574" t="str">
        <f t="shared" si="24"/>
        <v/>
      </c>
      <c r="AS68" s="574" t="str">
        <f t="shared" si="24"/>
        <v/>
      </c>
      <c r="AT68" s="574" t="str">
        <f t="shared" si="24"/>
        <v/>
      </c>
      <c r="AU68" s="574" t="str">
        <f t="shared" si="24"/>
        <v/>
      </c>
      <c r="AV68" s="574" t="str">
        <f t="shared" si="24"/>
        <v/>
      </c>
      <c r="AW68" s="574" t="str">
        <f t="shared" si="24"/>
        <v/>
      </c>
      <c r="AX68" s="574" t="str">
        <f t="shared" si="24"/>
        <v/>
      </c>
      <c r="AY68" s="574" t="str">
        <f t="shared" si="24"/>
        <v/>
      </c>
      <c r="AZ68" s="574" t="str">
        <f t="shared" si="24"/>
        <v/>
      </c>
      <c r="BA68" s="574" t="str">
        <f t="shared" si="24"/>
        <v/>
      </c>
      <c r="BB68" s="574" t="str">
        <f t="shared" si="24"/>
        <v/>
      </c>
      <c r="BC68" s="574" t="str">
        <f t="shared" si="24"/>
        <v/>
      </c>
      <c r="BD68" s="574" t="str">
        <f t="shared" si="24"/>
        <v/>
      </c>
      <c r="BE68" s="574" t="str">
        <f t="shared" si="24"/>
        <v/>
      </c>
      <c r="BF68" s="574" t="str">
        <f t="shared" si="24"/>
        <v/>
      </c>
      <c r="BG68" s="574" t="str">
        <f t="shared" si="24"/>
        <v/>
      </c>
      <c r="BH68" s="574" t="str">
        <f t="shared" si="23"/>
        <v/>
      </c>
      <c r="BI68" s="510">
        <f t="shared" si="1"/>
        <v>62</v>
      </c>
      <c r="BJ68" s="631">
        <f t="shared" si="3"/>
        <v>0</v>
      </c>
      <c r="BK68" s="632" t="str">
        <f t="shared" si="4"/>
        <v>0 to &lt;= 50 ML Clean, Unlined, Pasture</v>
      </c>
    </row>
    <row r="69" spans="1:63">
      <c r="A69" s="532"/>
      <c r="B69" s="562">
        <f t="shared" si="5"/>
        <v>61</v>
      </c>
      <c r="C69" s="138"/>
      <c r="D69" s="591"/>
      <c r="E69" s="57" t="str">
        <f t="shared" si="11"/>
        <v>Contaminated</v>
      </c>
      <c r="F69" s="57" t="s">
        <v>187</v>
      </c>
      <c r="G69" s="57" t="s">
        <v>124</v>
      </c>
      <c r="H69" s="57" t="s">
        <v>193</v>
      </c>
      <c r="I69" s="57" t="s">
        <v>1990</v>
      </c>
      <c r="J69" s="67"/>
      <c r="K69" s="55"/>
      <c r="L69" s="494"/>
      <c r="M69" s="574" t="str">
        <f t="shared" si="22"/>
        <v/>
      </c>
      <c r="N69" s="574" t="str">
        <f t="shared" si="22"/>
        <v/>
      </c>
      <c r="O69" s="574" t="str">
        <f t="shared" si="22"/>
        <v/>
      </c>
      <c r="P69" s="574">
        <f t="shared" si="22"/>
        <v>0</v>
      </c>
      <c r="Q69" s="574" t="str">
        <f t="shared" si="22"/>
        <v/>
      </c>
      <c r="R69" s="574" t="str">
        <f t="shared" si="22"/>
        <v/>
      </c>
      <c r="S69" s="574" t="str">
        <f t="shared" si="22"/>
        <v/>
      </c>
      <c r="T69" s="574" t="str">
        <f t="shared" si="22"/>
        <v/>
      </c>
      <c r="U69" s="574" t="str">
        <f t="shared" si="22"/>
        <v/>
      </c>
      <c r="V69" s="574" t="str">
        <f t="shared" si="22"/>
        <v/>
      </c>
      <c r="W69" s="574" t="str">
        <f t="shared" si="22"/>
        <v/>
      </c>
      <c r="X69" s="574" t="str">
        <f t="shared" si="22"/>
        <v/>
      </c>
      <c r="Y69" s="574" t="str">
        <f t="shared" si="22"/>
        <v/>
      </c>
      <c r="Z69" s="574" t="str">
        <f t="shared" si="22"/>
        <v/>
      </c>
      <c r="AA69" s="574" t="str">
        <f t="shared" si="22"/>
        <v/>
      </c>
      <c r="AB69" s="574" t="str">
        <f t="shared" si="22"/>
        <v/>
      </c>
      <c r="AC69" s="574" t="str">
        <f t="shared" si="21"/>
        <v/>
      </c>
      <c r="AD69" s="574" t="str">
        <f t="shared" si="21"/>
        <v/>
      </c>
      <c r="AE69" s="574" t="str">
        <f t="shared" si="21"/>
        <v/>
      </c>
      <c r="AF69" s="574" t="str">
        <f t="shared" si="21"/>
        <v/>
      </c>
      <c r="AG69" s="574" t="str">
        <f t="shared" si="21"/>
        <v/>
      </c>
      <c r="AH69" s="574" t="str">
        <f t="shared" si="21"/>
        <v/>
      </c>
      <c r="AI69" s="574" t="str">
        <f t="shared" si="21"/>
        <v/>
      </c>
      <c r="AJ69" s="574" t="str">
        <f t="shared" si="21"/>
        <v/>
      </c>
      <c r="AK69" s="574" t="str">
        <f t="shared" si="21"/>
        <v/>
      </c>
      <c r="AL69" s="574" t="str">
        <f t="shared" si="21"/>
        <v/>
      </c>
      <c r="AM69" s="574" t="str">
        <f t="shared" si="21"/>
        <v/>
      </c>
      <c r="AN69" s="574" t="str">
        <f t="shared" si="21"/>
        <v/>
      </c>
      <c r="AO69" s="574" t="str">
        <f t="shared" si="21"/>
        <v/>
      </c>
      <c r="AP69" s="574" t="str">
        <f t="shared" si="21"/>
        <v/>
      </c>
      <c r="AQ69" s="574" t="str">
        <f t="shared" si="21"/>
        <v/>
      </c>
      <c r="AR69" s="574" t="str">
        <f t="shared" si="24"/>
        <v/>
      </c>
      <c r="AS69" s="574" t="str">
        <f t="shared" si="24"/>
        <v/>
      </c>
      <c r="AT69" s="574" t="str">
        <f t="shared" si="24"/>
        <v/>
      </c>
      <c r="AU69" s="574" t="str">
        <f t="shared" si="24"/>
        <v/>
      </c>
      <c r="AV69" s="574" t="str">
        <f t="shared" si="24"/>
        <v/>
      </c>
      <c r="AW69" s="574" t="str">
        <f t="shared" si="24"/>
        <v/>
      </c>
      <c r="AX69" s="574" t="str">
        <f t="shared" si="24"/>
        <v/>
      </c>
      <c r="AY69" s="574" t="str">
        <f t="shared" si="24"/>
        <v/>
      </c>
      <c r="AZ69" s="574" t="str">
        <f t="shared" si="24"/>
        <v/>
      </c>
      <c r="BA69" s="574" t="str">
        <f t="shared" si="24"/>
        <v/>
      </c>
      <c r="BB69" s="574" t="str">
        <f t="shared" si="24"/>
        <v/>
      </c>
      <c r="BC69" s="574" t="str">
        <f t="shared" si="24"/>
        <v/>
      </c>
      <c r="BD69" s="574" t="str">
        <f t="shared" si="24"/>
        <v/>
      </c>
      <c r="BE69" s="574" t="str">
        <f t="shared" si="24"/>
        <v/>
      </c>
      <c r="BF69" s="574" t="str">
        <f t="shared" si="24"/>
        <v/>
      </c>
      <c r="BG69" s="574" t="str">
        <f t="shared" si="24"/>
        <v/>
      </c>
      <c r="BH69" s="574" t="str">
        <f t="shared" si="23"/>
        <v/>
      </c>
      <c r="BI69" s="510">
        <f t="shared" si="1"/>
        <v>63</v>
      </c>
      <c r="BJ69" s="631">
        <f t="shared" si="3"/>
        <v>0</v>
      </c>
      <c r="BK69" s="632" t="str">
        <f t="shared" si="4"/>
        <v>0 to &lt;= 50 ML Contaminated, Unlined, Pasture</v>
      </c>
    </row>
    <row r="70" spans="1:63">
      <c r="A70" s="532"/>
      <c r="B70" s="562">
        <f t="shared" si="5"/>
        <v>62</v>
      </c>
      <c r="C70" s="138"/>
      <c r="D70" s="591"/>
      <c r="E70" s="57" t="str">
        <f t="shared" si="11"/>
        <v>Contaminated</v>
      </c>
      <c r="F70" s="57" t="s">
        <v>187</v>
      </c>
      <c r="G70" s="57" t="s">
        <v>124</v>
      </c>
      <c r="H70" s="57" t="s">
        <v>193</v>
      </c>
      <c r="I70" s="57" t="s">
        <v>1990</v>
      </c>
      <c r="J70" s="67"/>
      <c r="K70" s="55"/>
      <c r="L70" s="494"/>
      <c r="M70" s="574" t="str">
        <f t="shared" si="22"/>
        <v/>
      </c>
      <c r="N70" s="574" t="str">
        <f t="shared" si="22"/>
        <v/>
      </c>
      <c r="O70" s="574" t="str">
        <f t="shared" si="22"/>
        <v/>
      </c>
      <c r="P70" s="574">
        <f t="shared" si="22"/>
        <v>0</v>
      </c>
      <c r="Q70" s="574" t="str">
        <f t="shared" si="22"/>
        <v/>
      </c>
      <c r="R70" s="574" t="str">
        <f t="shared" si="22"/>
        <v/>
      </c>
      <c r="S70" s="574" t="str">
        <f t="shared" si="22"/>
        <v/>
      </c>
      <c r="T70" s="574" t="str">
        <f t="shared" si="22"/>
        <v/>
      </c>
      <c r="U70" s="574" t="str">
        <f t="shared" si="22"/>
        <v/>
      </c>
      <c r="V70" s="574" t="str">
        <f t="shared" si="22"/>
        <v/>
      </c>
      <c r="W70" s="574" t="str">
        <f t="shared" si="22"/>
        <v/>
      </c>
      <c r="X70" s="574" t="str">
        <f t="shared" si="22"/>
        <v/>
      </c>
      <c r="Y70" s="574" t="str">
        <f t="shared" si="22"/>
        <v/>
      </c>
      <c r="Z70" s="574" t="str">
        <f t="shared" si="22"/>
        <v/>
      </c>
      <c r="AA70" s="574" t="str">
        <f t="shared" si="22"/>
        <v/>
      </c>
      <c r="AB70" s="574" t="str">
        <f t="shared" si="22"/>
        <v/>
      </c>
      <c r="AC70" s="574" t="str">
        <f t="shared" si="21"/>
        <v/>
      </c>
      <c r="AD70" s="574" t="str">
        <f t="shared" si="21"/>
        <v/>
      </c>
      <c r="AE70" s="574" t="str">
        <f t="shared" si="21"/>
        <v/>
      </c>
      <c r="AF70" s="574" t="str">
        <f t="shared" si="21"/>
        <v/>
      </c>
      <c r="AG70" s="574" t="str">
        <f t="shared" si="21"/>
        <v/>
      </c>
      <c r="AH70" s="574" t="str">
        <f t="shared" si="21"/>
        <v/>
      </c>
      <c r="AI70" s="574" t="str">
        <f t="shared" si="21"/>
        <v/>
      </c>
      <c r="AJ70" s="574" t="str">
        <f t="shared" si="21"/>
        <v/>
      </c>
      <c r="AK70" s="574" t="str">
        <f t="shared" si="21"/>
        <v/>
      </c>
      <c r="AL70" s="574" t="str">
        <f t="shared" si="21"/>
        <v/>
      </c>
      <c r="AM70" s="574" t="str">
        <f t="shared" si="21"/>
        <v/>
      </c>
      <c r="AN70" s="574" t="str">
        <f t="shared" si="21"/>
        <v/>
      </c>
      <c r="AO70" s="574" t="str">
        <f t="shared" si="21"/>
        <v/>
      </c>
      <c r="AP70" s="574" t="str">
        <f t="shared" si="21"/>
        <v/>
      </c>
      <c r="AQ70" s="574" t="str">
        <f t="shared" si="21"/>
        <v/>
      </c>
      <c r="AR70" s="574" t="str">
        <f t="shared" si="24"/>
        <v/>
      </c>
      <c r="AS70" s="574" t="str">
        <f t="shared" si="24"/>
        <v/>
      </c>
      <c r="AT70" s="574" t="str">
        <f t="shared" si="24"/>
        <v/>
      </c>
      <c r="AU70" s="574" t="str">
        <f t="shared" si="24"/>
        <v/>
      </c>
      <c r="AV70" s="574" t="str">
        <f t="shared" si="24"/>
        <v/>
      </c>
      <c r="AW70" s="574" t="str">
        <f t="shared" si="24"/>
        <v/>
      </c>
      <c r="AX70" s="574" t="str">
        <f t="shared" si="24"/>
        <v/>
      </c>
      <c r="AY70" s="574" t="str">
        <f t="shared" si="24"/>
        <v/>
      </c>
      <c r="AZ70" s="574" t="str">
        <f t="shared" si="24"/>
        <v/>
      </c>
      <c r="BA70" s="574" t="str">
        <f t="shared" si="24"/>
        <v/>
      </c>
      <c r="BB70" s="574" t="str">
        <f t="shared" si="24"/>
        <v/>
      </c>
      <c r="BC70" s="574" t="str">
        <f t="shared" si="24"/>
        <v/>
      </c>
      <c r="BD70" s="574" t="str">
        <f t="shared" si="24"/>
        <v/>
      </c>
      <c r="BE70" s="574" t="str">
        <f t="shared" si="24"/>
        <v/>
      </c>
      <c r="BF70" s="574" t="str">
        <f t="shared" si="24"/>
        <v/>
      </c>
      <c r="BG70" s="574" t="str">
        <f t="shared" si="24"/>
        <v/>
      </c>
      <c r="BH70" s="574" t="str">
        <f t="shared" si="23"/>
        <v/>
      </c>
      <c r="BI70" s="510">
        <f t="shared" si="1"/>
        <v>64</v>
      </c>
      <c r="BJ70" s="631">
        <f t="shared" si="3"/>
        <v>0</v>
      </c>
      <c r="BK70" s="632" t="str">
        <f t="shared" si="4"/>
        <v>0 to &lt;= 50 ML Contaminated, Unlined, Pasture</v>
      </c>
    </row>
    <row r="71" spans="1:63" ht="18" customHeight="1">
      <c r="A71" s="538"/>
      <c r="B71" s="539"/>
      <c r="C71" s="539"/>
      <c r="E71" s="539"/>
      <c r="F71" s="539"/>
      <c r="G71" s="539"/>
      <c r="H71" s="539"/>
      <c r="I71" s="539"/>
      <c r="J71" s="539"/>
      <c r="K71" s="546"/>
      <c r="L71" s="494"/>
      <c r="M71" s="512"/>
      <c r="N71" s="512"/>
      <c r="O71" s="512"/>
      <c r="P71" s="512"/>
      <c r="Q71" s="512"/>
      <c r="R71" s="512"/>
      <c r="S71" s="512"/>
      <c r="T71" s="512"/>
      <c r="U71" s="512"/>
      <c r="V71" s="512"/>
      <c r="W71" s="512"/>
      <c r="X71" s="512"/>
      <c r="Y71" s="512"/>
      <c r="Z71" s="512"/>
      <c r="AA71" s="512"/>
      <c r="AB71" s="512"/>
      <c r="AC71" s="512"/>
      <c r="AD71" s="512"/>
      <c r="AE71" s="512"/>
      <c r="AF71" s="512"/>
      <c r="AG71" s="512"/>
      <c r="AH71" s="512"/>
      <c r="AI71" s="512"/>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0">
        <f t="shared" si="1"/>
        <v>65</v>
      </c>
    </row>
    <row r="72" spans="1:63" ht="16.350000000000001" customHeight="1">
      <c r="B72" s="496"/>
      <c r="C72" s="496"/>
      <c r="E72" s="526"/>
      <c r="F72" s="526"/>
      <c r="G72" s="526"/>
      <c r="H72" s="526"/>
      <c r="I72" s="526"/>
      <c r="J72" s="564">
        <f>SUM(J8:J71)</f>
        <v>0</v>
      </c>
      <c r="K72" s="569">
        <f>SUM(K9:K71)</f>
        <v>0</v>
      </c>
      <c r="L72" s="530" t="str">
        <f>IF(SUM(K72)-SUM(M72:BH72)=0,"ok","E")</f>
        <v>ok</v>
      </c>
      <c r="M72" s="514">
        <f t="shared" ref="M72:BC72" si="25">SUM(M9:M71)</f>
        <v>0</v>
      </c>
      <c r="N72" s="514">
        <f t="shared" ref="N72:Y72" si="26">SUM(N9:N71)</f>
        <v>0</v>
      </c>
      <c r="O72" s="514">
        <f t="shared" si="26"/>
        <v>0</v>
      </c>
      <c r="P72" s="514">
        <f t="shared" si="26"/>
        <v>0</v>
      </c>
      <c r="Q72" s="514">
        <f t="shared" si="26"/>
        <v>0</v>
      </c>
      <c r="R72" s="514">
        <f t="shared" si="26"/>
        <v>0</v>
      </c>
      <c r="S72" s="514">
        <f t="shared" si="26"/>
        <v>0</v>
      </c>
      <c r="T72" s="514">
        <f t="shared" si="26"/>
        <v>0</v>
      </c>
      <c r="U72" s="514">
        <f t="shared" si="26"/>
        <v>0</v>
      </c>
      <c r="V72" s="514">
        <f t="shared" si="26"/>
        <v>0</v>
      </c>
      <c r="W72" s="514">
        <f t="shared" si="26"/>
        <v>0</v>
      </c>
      <c r="X72" s="514">
        <f t="shared" si="26"/>
        <v>0</v>
      </c>
      <c r="Y72" s="514">
        <f t="shared" si="26"/>
        <v>0</v>
      </c>
      <c r="Z72" s="514">
        <f t="shared" si="25"/>
        <v>0</v>
      </c>
      <c r="AA72" s="514">
        <f t="shared" si="25"/>
        <v>0</v>
      </c>
      <c r="AB72" s="514">
        <f t="shared" si="25"/>
        <v>0</v>
      </c>
      <c r="AC72" s="514">
        <f t="shared" si="25"/>
        <v>0</v>
      </c>
      <c r="AD72" s="514">
        <f t="shared" si="25"/>
        <v>0</v>
      </c>
      <c r="AE72" s="514">
        <f t="shared" si="25"/>
        <v>0</v>
      </c>
      <c r="AF72" s="514">
        <f t="shared" si="25"/>
        <v>0</v>
      </c>
      <c r="AG72" s="514">
        <f t="shared" si="25"/>
        <v>0</v>
      </c>
      <c r="AH72" s="514">
        <f t="shared" si="25"/>
        <v>0</v>
      </c>
      <c r="AI72" s="514">
        <f t="shared" si="25"/>
        <v>0</v>
      </c>
      <c r="AJ72" s="514">
        <f t="shared" si="25"/>
        <v>0</v>
      </c>
      <c r="AK72" s="514">
        <f t="shared" si="25"/>
        <v>0</v>
      </c>
      <c r="AL72" s="514">
        <f t="shared" si="25"/>
        <v>0</v>
      </c>
      <c r="AM72" s="514">
        <f t="shared" si="25"/>
        <v>0</v>
      </c>
      <c r="AN72" s="514">
        <f t="shared" si="25"/>
        <v>0</v>
      </c>
      <c r="AO72" s="514">
        <f t="shared" si="25"/>
        <v>0</v>
      </c>
      <c r="AP72" s="514">
        <f t="shared" si="25"/>
        <v>0</v>
      </c>
      <c r="AQ72" s="514">
        <f t="shared" si="25"/>
        <v>0</v>
      </c>
      <c r="AR72" s="514">
        <f t="shared" si="25"/>
        <v>0</v>
      </c>
      <c r="AS72" s="514">
        <f t="shared" si="25"/>
        <v>0</v>
      </c>
      <c r="AT72" s="514">
        <f t="shared" si="25"/>
        <v>0</v>
      </c>
      <c r="AU72" s="514">
        <f t="shared" si="25"/>
        <v>0</v>
      </c>
      <c r="AV72" s="514">
        <f t="shared" si="25"/>
        <v>0</v>
      </c>
      <c r="AW72" s="514">
        <f t="shared" si="25"/>
        <v>0</v>
      </c>
      <c r="AX72" s="514">
        <f t="shared" si="25"/>
        <v>0</v>
      </c>
      <c r="AY72" s="514">
        <f t="shared" si="25"/>
        <v>0</v>
      </c>
      <c r="AZ72" s="514">
        <f t="shared" si="25"/>
        <v>0</v>
      </c>
      <c r="BA72" s="514">
        <f t="shared" si="25"/>
        <v>0</v>
      </c>
      <c r="BB72" s="514">
        <f t="shared" si="25"/>
        <v>0</v>
      </c>
      <c r="BC72" s="514">
        <f t="shared" si="25"/>
        <v>0</v>
      </c>
      <c r="BD72" s="514">
        <f t="shared" ref="BD72:BH72" si="27">SUM(BD9:BD71)</f>
        <v>0</v>
      </c>
      <c r="BE72" s="514">
        <f t="shared" si="27"/>
        <v>0</v>
      </c>
      <c r="BF72" s="514">
        <f t="shared" si="27"/>
        <v>0</v>
      </c>
      <c r="BG72" s="514">
        <f t="shared" si="27"/>
        <v>0</v>
      </c>
      <c r="BH72" s="514">
        <f t="shared" si="27"/>
        <v>0</v>
      </c>
      <c r="BI72" s="510">
        <f t="shared" si="1"/>
        <v>66</v>
      </c>
    </row>
    <row r="73" spans="1:63" ht="16.350000000000001" customHeight="1">
      <c r="B73" s="496"/>
      <c r="C73" s="496"/>
      <c r="E73" s="526"/>
      <c r="F73" s="526"/>
      <c r="G73" s="526"/>
      <c r="H73" s="526"/>
      <c r="I73" s="526"/>
      <c r="J73" s="526"/>
      <c r="K73" s="526"/>
      <c r="L73" s="530" t="s">
        <v>1844</v>
      </c>
      <c r="M73" s="134" t="s">
        <v>1992</v>
      </c>
      <c r="N73" s="134" t="s">
        <v>1992</v>
      </c>
      <c r="O73" s="134" t="s">
        <v>1992</v>
      </c>
      <c r="P73" s="134" t="s">
        <v>1992</v>
      </c>
      <c r="Q73" s="134" t="s">
        <v>1992</v>
      </c>
      <c r="R73" s="134" t="s">
        <v>1992</v>
      </c>
      <c r="S73" s="134" t="s">
        <v>1992</v>
      </c>
      <c r="T73" s="134" t="s">
        <v>1992</v>
      </c>
      <c r="U73" s="134" t="s">
        <v>1992</v>
      </c>
      <c r="V73" s="134" t="s">
        <v>1992</v>
      </c>
      <c r="W73" s="134" t="s">
        <v>1992</v>
      </c>
      <c r="X73" s="134" t="s">
        <v>1992</v>
      </c>
      <c r="Y73" s="134" t="s">
        <v>1992</v>
      </c>
      <c r="Z73" s="134" t="s">
        <v>1992</v>
      </c>
      <c r="AA73" s="134" t="s">
        <v>1992</v>
      </c>
      <c r="AB73" s="134" t="s">
        <v>1992</v>
      </c>
      <c r="AC73" s="134" t="s">
        <v>1992</v>
      </c>
      <c r="AD73" s="134" t="s">
        <v>1992</v>
      </c>
      <c r="AE73" s="134" t="s">
        <v>1992</v>
      </c>
      <c r="AF73" s="134" t="s">
        <v>1992</v>
      </c>
      <c r="AG73" s="134" t="s">
        <v>1992</v>
      </c>
      <c r="AH73" s="134" t="s">
        <v>1992</v>
      </c>
      <c r="AI73" s="134" t="s">
        <v>1992</v>
      </c>
      <c r="AJ73" s="134" t="s">
        <v>1992</v>
      </c>
      <c r="AK73" s="134" t="s">
        <v>1992</v>
      </c>
      <c r="AL73" s="134" t="s">
        <v>1992</v>
      </c>
      <c r="AM73" s="134" t="s">
        <v>1992</v>
      </c>
      <c r="AN73" s="134" t="s">
        <v>1992</v>
      </c>
      <c r="AO73" s="134" t="s">
        <v>1992</v>
      </c>
      <c r="AP73" s="134" t="s">
        <v>1992</v>
      </c>
      <c r="AQ73" s="134" t="s">
        <v>1992</v>
      </c>
      <c r="AR73" s="134" t="s">
        <v>1992</v>
      </c>
      <c r="AS73" s="134" t="s">
        <v>1992</v>
      </c>
      <c r="AT73" s="134" t="s">
        <v>1992</v>
      </c>
      <c r="AU73" s="134" t="s">
        <v>1992</v>
      </c>
      <c r="AV73" s="134" t="s">
        <v>1992</v>
      </c>
      <c r="AW73" s="134" t="s">
        <v>1992</v>
      </c>
      <c r="AX73" s="134" t="s">
        <v>1992</v>
      </c>
      <c r="AY73" s="134" t="s">
        <v>1992</v>
      </c>
      <c r="AZ73" s="134" t="s">
        <v>1992</v>
      </c>
      <c r="BA73" s="134" t="s">
        <v>1992</v>
      </c>
      <c r="BB73" s="134" t="s">
        <v>1992</v>
      </c>
      <c r="BC73" s="134" t="s">
        <v>1992</v>
      </c>
      <c r="BD73" s="134" t="s">
        <v>1992</v>
      </c>
      <c r="BE73" s="134" t="s">
        <v>1992</v>
      </c>
      <c r="BF73" s="134" t="s">
        <v>1992</v>
      </c>
      <c r="BG73" s="134" t="s">
        <v>1992</v>
      </c>
      <c r="BH73" s="134" t="s">
        <v>1992</v>
      </c>
      <c r="BI73" s="530"/>
    </row>
    <row r="74" spans="1:63" ht="16.350000000000001" customHeight="1">
      <c r="E74" s="497"/>
      <c r="F74" s="497"/>
      <c r="G74" s="497"/>
      <c r="H74" s="497"/>
      <c r="I74" s="497"/>
      <c r="J74" s="494"/>
      <c r="L74" s="526" t="s">
        <v>1993</v>
      </c>
      <c r="M74" s="361">
        <f>VLOOKUP(M7,Subrates!$C$173:$D$220,2,FALSE)</f>
        <v>72862.066165017153</v>
      </c>
      <c r="N74" s="361">
        <f>VLOOKUP(N7,Subrates!$C$173:$D$220,2,FALSE)</f>
        <v>75403.066165017153</v>
      </c>
      <c r="O74" s="361">
        <f>VLOOKUP(O7,Subrates!$C$173:$D$220,2,FALSE)</f>
        <v>69085.16676520383</v>
      </c>
      <c r="P74" s="361">
        <f>VLOOKUP(P7,Subrates!$C$173:$D$220,2,FALSE)</f>
        <v>64367.295719381174</v>
      </c>
      <c r="Q74" s="361">
        <f>VLOOKUP(Q7,Subrates!$C$173:$D$220,2,FALSE)</f>
        <v>66908.295719381174</v>
      </c>
      <c r="R74" s="361">
        <f>VLOOKUP(R7,Subrates!$C$173:$D$220,2,FALSE)</f>
        <v>60590.396319567852</v>
      </c>
      <c r="S74" s="361">
        <f>VLOOKUP(S7,Subrates!$C$173:$D$220,2,FALSE)</f>
        <v>64762.771970648268</v>
      </c>
      <c r="T74" s="361">
        <f>VLOOKUP(T7,Subrates!$C$173:$D$220,2,FALSE)</f>
        <v>67303.771970648275</v>
      </c>
      <c r="U74" s="361">
        <f>VLOOKUP(U7,Subrates!$C$173:$D$220,2,FALSE)</f>
        <v>60985.872570834945</v>
      </c>
      <c r="V74" s="361">
        <f>VLOOKUP(V7,Subrates!$C$173:$D$220,2,FALSE)</f>
        <v>55872.525273745188</v>
      </c>
      <c r="W74" s="361">
        <f>VLOOKUP(W7,Subrates!$C$173:$D$220,2,FALSE)</f>
        <v>58413.525273745188</v>
      </c>
      <c r="X74" s="361">
        <f>VLOOKUP(X7,Subrates!$C$173:$D$220,2,FALSE)</f>
        <v>52095.625873931865</v>
      </c>
      <c r="Y74" s="361">
        <f>VLOOKUP(Y7,Subrates!$C$173:$D$220,2,FALSE)</f>
        <v>62953.217957727087</v>
      </c>
      <c r="Z74" s="361">
        <f>VLOOKUP(Z7,Subrates!$C$173:$D$220,2,FALSE)</f>
        <v>65494.217957727087</v>
      </c>
      <c r="AA74" s="361">
        <f>VLOOKUP(AA7,Subrates!$C$173:$D$220,2,FALSE)</f>
        <v>57054.91915810042</v>
      </c>
      <c r="AB74" s="361">
        <f>VLOOKUP(AB7,Subrates!$C$173:$D$220,2,FALSE)</f>
        <v>54626.211959696593</v>
      </c>
      <c r="AC74" s="361">
        <f>VLOOKUP(AC7,Subrates!$C$173:$D$220,2,FALSE)</f>
        <v>57167.211959696593</v>
      </c>
      <c r="AD74" s="361">
        <f>VLOOKUP(AD7,Subrates!$C$173:$D$220,2,FALSE)</f>
        <v>48727.913160069933</v>
      </c>
      <c r="AE74" s="361">
        <f>VLOOKUP(AE7,Subrates!$C$173:$D$220,2,FALSE)</f>
        <v>55189.452658569193</v>
      </c>
      <c r="AF74" s="361">
        <f>VLOOKUP(AF7,Subrates!$C$173:$D$220,2,FALSE)</f>
        <v>57730.452658569186</v>
      </c>
      <c r="AG74" s="361">
        <f>VLOOKUP(AG7,Subrates!$C$173:$D$220,2,FALSE)</f>
        <v>49291.153858942518</v>
      </c>
      <c r="AH74" s="361">
        <f>VLOOKUP(AH7,Subrates!$C$173:$D$220,2,FALSE)</f>
        <v>46299.205961666099</v>
      </c>
      <c r="AI74" s="361">
        <f>VLOOKUP(AI7,Subrates!$C$173:$D$220,2,FALSE)</f>
        <v>48840.205961666106</v>
      </c>
      <c r="AJ74" s="361">
        <f>VLOOKUP(AJ7,Subrates!$C$173:$D$220,2,FALSE)</f>
        <v>40400.907162039439</v>
      </c>
      <c r="AK74" s="361">
        <f>VLOOKUP(AK7,Subrates!$C$173:$D$220,2,FALSE)</f>
        <v>55670.121625581545</v>
      </c>
      <c r="AL74" s="361">
        <f>VLOOKUP(AL7,Subrates!$C$173:$D$220,2,FALSE)</f>
        <v>58211.121625581545</v>
      </c>
      <c r="AM74" s="361">
        <f>VLOOKUP(AM7,Subrates!$C$173:$D$220,2,FALSE)</f>
        <v>49771.822825954878</v>
      </c>
      <c r="AN74" s="361">
        <f>VLOOKUP(AN7,Subrates!$C$173:$D$220,2,FALSE)</f>
        <v>47510.880075156543</v>
      </c>
      <c r="AO74" s="361">
        <f>VLOOKUP(AO7,Subrates!$C$173:$D$220,2,FALSE)</f>
        <v>50051.880075156543</v>
      </c>
      <c r="AP74" s="361">
        <f>VLOOKUP(AP7,Subrates!$C$173:$D$220,2,FALSE)</f>
        <v>41612.581275529883</v>
      </c>
      <c r="AQ74" s="361">
        <f>VLOOKUP(AQ7,Subrates!$C$173:$D$220,2,FALSE)</f>
        <v>48241.885221634635</v>
      </c>
      <c r="AR74" s="361">
        <f>VLOOKUP(AR7,Subrates!$C$173:$D$220,2,FALSE)</f>
        <v>50782.885221634635</v>
      </c>
      <c r="AS74" s="361">
        <f>VLOOKUP(AS7,Subrates!$C$173:$D$220,2,FALSE)</f>
        <v>42343.58642200796</v>
      </c>
      <c r="AT74" s="361">
        <f>VLOOKUP(AT7,Subrates!$C$173:$D$220,2,FALSE)</f>
        <v>39351.638524731541</v>
      </c>
      <c r="AU74" s="361">
        <f>VLOOKUP(AU7,Subrates!$C$173:$D$220,2,FALSE)</f>
        <v>41892.638524731541</v>
      </c>
      <c r="AV74" s="361">
        <f>VLOOKUP(AV7,Subrates!$C$173:$D$220,2,FALSE)</f>
        <v>33453.339725104881</v>
      </c>
      <c r="AW74" s="361">
        <f>VLOOKUP(AW7,Subrates!$C$173:$D$220,2,FALSE)</f>
        <v>43923.259841744548</v>
      </c>
      <c r="AX74" s="361">
        <f>VLOOKUP(AX7,Subrates!$C$173:$D$220,2,FALSE)</f>
        <v>46464.259841744541</v>
      </c>
      <c r="AY74" s="361">
        <f>VLOOKUP(AY7,Subrates!$C$173:$D$220,2,FALSE)</f>
        <v>38024.96104211788</v>
      </c>
      <c r="AZ74" s="361">
        <f>VLOOKUP(AZ7,Subrates!$C$173:$D$220,2,FALSE)</f>
        <v>37114.831314101451</v>
      </c>
      <c r="BA74" s="361">
        <f>VLOOKUP(BA7,Subrates!$C$173:$D$220,2,FALSE)</f>
        <v>39655.831314101444</v>
      </c>
      <c r="BB74" s="361">
        <f>VLOOKUP(BB7,Subrates!$C$173:$D$220,2,FALSE)</f>
        <v>31216.53251447478</v>
      </c>
      <c r="BC74" s="361">
        <f>VLOOKUP(BC7,Subrates!$C$173:$D$220,2,FALSE)</f>
        <v>39196.649483361427</v>
      </c>
      <c r="BD74" s="361">
        <f>VLOOKUP(BD7,Subrates!$C$173:$D$220,2,FALSE)</f>
        <v>41737.649483361427</v>
      </c>
      <c r="BE74" s="361">
        <f>VLOOKUP(BE7,Subrates!$C$173:$D$220,2,FALSE)</f>
        <v>33298.35068373476</v>
      </c>
      <c r="BF74" s="361">
        <f>VLOOKUP(BF7,Subrates!$C$173:$D$220,2,FALSE)</f>
        <v>30306.402786458351</v>
      </c>
      <c r="BG74" s="361">
        <f>VLOOKUP(BG7,Subrates!$C$173:$D$220,2,FALSE)</f>
        <v>32847.402786458348</v>
      </c>
      <c r="BH74" s="361">
        <f>VLOOKUP(BH7,Subrates!$C$173:$D$220,2,FALSE)</f>
        <v>24408.10398683168</v>
      </c>
    </row>
    <row r="75" spans="1:63" ht="16.350000000000001" customHeight="1">
      <c r="L75" s="526" t="s">
        <v>1152</v>
      </c>
      <c r="M75" s="570">
        <f>M74*M72</f>
        <v>0</v>
      </c>
      <c r="N75" s="570">
        <f t="shared" ref="N75:Y75" si="28">N74*N72</f>
        <v>0</v>
      </c>
      <c r="O75" s="570">
        <f t="shared" si="28"/>
        <v>0</v>
      </c>
      <c r="P75" s="570">
        <f t="shared" si="28"/>
        <v>0</v>
      </c>
      <c r="Q75" s="570">
        <f t="shared" si="28"/>
        <v>0</v>
      </c>
      <c r="R75" s="570">
        <f t="shared" si="28"/>
        <v>0</v>
      </c>
      <c r="S75" s="570">
        <f t="shared" si="28"/>
        <v>0</v>
      </c>
      <c r="T75" s="570">
        <f t="shared" si="28"/>
        <v>0</v>
      </c>
      <c r="U75" s="570">
        <f t="shared" si="28"/>
        <v>0</v>
      </c>
      <c r="V75" s="570">
        <f t="shared" si="28"/>
        <v>0</v>
      </c>
      <c r="W75" s="570">
        <f t="shared" si="28"/>
        <v>0</v>
      </c>
      <c r="X75" s="570">
        <f t="shared" si="28"/>
        <v>0</v>
      </c>
      <c r="Y75" s="570">
        <f t="shared" si="28"/>
        <v>0</v>
      </c>
      <c r="Z75" s="570">
        <f t="shared" ref="Z75:AB75" si="29">Z74*Z72</f>
        <v>0</v>
      </c>
      <c r="AA75" s="570">
        <f t="shared" si="29"/>
        <v>0</v>
      </c>
      <c r="AB75" s="570">
        <f t="shared" si="29"/>
        <v>0</v>
      </c>
      <c r="AC75" s="570">
        <f t="shared" ref="AC75" si="30">AC74*AC72</f>
        <v>0</v>
      </c>
      <c r="AD75" s="570">
        <f t="shared" ref="AD75" si="31">AD74*AD72</f>
        <v>0</v>
      </c>
      <c r="AE75" s="570">
        <f t="shared" ref="AE75" si="32">AE74*AE72</f>
        <v>0</v>
      </c>
      <c r="AF75" s="570">
        <f t="shared" ref="AF75" si="33">AF74*AF72</f>
        <v>0</v>
      </c>
      <c r="AG75" s="570">
        <f t="shared" ref="AG75" si="34">AG74*AG72</f>
        <v>0</v>
      </c>
      <c r="AH75" s="570">
        <f t="shared" ref="AH75" si="35">AH74*AH72</f>
        <v>0</v>
      </c>
      <c r="AI75" s="570">
        <f t="shared" ref="AI75" si="36">AI74*AI72</f>
        <v>0</v>
      </c>
      <c r="AJ75" s="570">
        <f t="shared" ref="AJ75" si="37">AJ74*AJ72</f>
        <v>0</v>
      </c>
      <c r="AK75" s="570">
        <f t="shared" ref="AK75" si="38">AK74*AK72</f>
        <v>0</v>
      </c>
      <c r="AL75" s="570">
        <f t="shared" ref="AL75" si="39">AL74*AL72</f>
        <v>0</v>
      </c>
      <c r="AM75" s="570">
        <f t="shared" ref="AM75" si="40">AM74*AM72</f>
        <v>0</v>
      </c>
      <c r="AN75" s="570">
        <f t="shared" ref="AN75" si="41">AN74*AN72</f>
        <v>0</v>
      </c>
      <c r="AO75" s="570">
        <f t="shared" ref="AO75" si="42">AO74*AO72</f>
        <v>0</v>
      </c>
      <c r="AP75" s="570">
        <f t="shared" ref="AP75" si="43">AP74*AP72</f>
        <v>0</v>
      </c>
      <c r="AQ75" s="570">
        <f t="shared" ref="AQ75" si="44">AQ74*AQ72</f>
        <v>0</v>
      </c>
      <c r="AR75" s="570">
        <f t="shared" ref="AR75" si="45">AR74*AR72</f>
        <v>0</v>
      </c>
      <c r="AS75" s="570">
        <f t="shared" ref="AS75" si="46">AS74*AS72</f>
        <v>0</v>
      </c>
      <c r="AT75" s="570">
        <f t="shared" ref="AT75" si="47">AT74*AT72</f>
        <v>0</v>
      </c>
      <c r="AU75" s="570">
        <f t="shared" ref="AU75" si="48">AU74*AU72</f>
        <v>0</v>
      </c>
      <c r="AV75" s="570">
        <f t="shared" ref="AV75" si="49">AV74*AV72</f>
        <v>0</v>
      </c>
      <c r="AW75" s="570">
        <f t="shared" ref="AW75" si="50">AW74*AW72</f>
        <v>0</v>
      </c>
      <c r="AX75" s="570">
        <f t="shared" ref="AX75" si="51">AX74*AX72</f>
        <v>0</v>
      </c>
      <c r="AY75" s="570">
        <f t="shared" ref="AY75" si="52">AY74*AY72</f>
        <v>0</v>
      </c>
      <c r="AZ75" s="570">
        <f t="shared" ref="AZ75" si="53">AZ74*AZ72</f>
        <v>0</v>
      </c>
      <c r="BA75" s="570">
        <f t="shared" ref="BA75" si="54">BA74*BA72</f>
        <v>0</v>
      </c>
      <c r="BB75" s="570">
        <f t="shared" ref="BB75" si="55">BB74*BB72</f>
        <v>0</v>
      </c>
      <c r="BC75" s="570">
        <f t="shared" ref="BC75" si="56">BC74*BC72</f>
        <v>0</v>
      </c>
      <c r="BD75" s="570">
        <f t="shared" ref="BD75" si="57">BD74*BD72</f>
        <v>0</v>
      </c>
      <c r="BE75" s="570">
        <f t="shared" ref="BE75" si="58">BE74*BE72</f>
        <v>0</v>
      </c>
      <c r="BF75" s="570">
        <f t="shared" ref="BF75" si="59">BF74*BF72</f>
        <v>0</v>
      </c>
      <c r="BG75" s="570">
        <f t="shared" ref="BG75" si="60">BG74*BG72</f>
        <v>0</v>
      </c>
      <c r="BH75" s="570">
        <f t="shared" ref="BH75" si="61">BH74*BH72</f>
        <v>0</v>
      </c>
    </row>
  </sheetData>
  <sheetProtection algorithmName="SHA-512" hashValue="Xg+earCDENUDzh8/fv5zch/ZDDezwzmd+640fKkNSnA+Jk0OuVNNJ/o2vTIzcqz66x78dVvVaezWv8MDaunEnQ==" saltValue="eVpU8Pa08/f0PTXJ+bp2Yg==" spinCount="100000" sheet="1" objects="1" scenarios="1" autoFilter="0"/>
  <phoneticPr fontId="12" type="noConversion"/>
  <dataValidations xWindow="1528" yWindow="720" count="8">
    <dataValidation type="list" allowBlank="1" showInputMessage="1" showErrorMessage="1" sqref="I9:I70" xr:uid="{0605D69A-C172-4943-B8B5-9FB23B5AB440}">
      <formula1>Dam_Regulated_NonReg</formula1>
    </dataValidation>
    <dataValidation type="whole" allowBlank="1" showInputMessage="1" showErrorMessage="1" sqref="J9:J70" xr:uid="{19B11D2C-0D09-41A4-870F-25C4342B39C6}">
      <formula1>0</formula1>
      <formula2>10000</formula2>
    </dataValidation>
    <dataValidation type="list" allowBlank="1" showInputMessage="1" showErrorMessage="1" sqref="G9:G70" xr:uid="{6DCA9AD5-CA45-4543-9303-11E608D23BA2}">
      <formula1>Seed_type</formula1>
    </dataValidation>
    <dataValidation type="list" allowBlank="1" showInputMessage="1" showErrorMessage="1" sqref="H9:H70" xr:uid="{0C1CF651-C2A1-432E-83F9-DEDCF6702C15}">
      <formula1>Dam_liner</formula1>
    </dataValidation>
    <dataValidation type="list" allowBlank="1" showInputMessage="1" showErrorMessage="1" sqref="E9:E70" xr:uid="{7135F574-4D6C-43DE-B74B-8B67823CDDDB}">
      <formula1>Dam_contam</formula1>
    </dataValidation>
    <dataValidation type="list" allowBlank="1" showInputMessage="1" showErrorMessage="1" sqref="F9:F70" xr:uid="{6EDB0F5F-75A6-45B6-94F5-50204E07E98B}">
      <formula1>Dam_size_list_area</formula1>
    </dataValidation>
    <dataValidation allowBlank="1" showInputMessage="1" showErrorMessage="1" prompt="This is the total area for all the dams in this category." sqref="K7" xr:uid="{4CBCA1BC-E964-43EC-AD80-9C6836E4A4C7}"/>
    <dataValidation allowBlank="1" showInputMessage="1" showErrorMessage="1" prompt="This is for information only and indicates to the Department how many dams make up the total disturbance area entered to the Total Land Area column." sqref="J7" xr:uid="{3E49674C-F664-421A-A1DF-5CF91C08BF29}"/>
  </dataValidations>
  <hyperlinks>
    <hyperlink ref="B3" location="CONTENTS" display="Contents" xr:uid="{2D2C84A7-CE58-46D9-8B57-69BE866C1791}"/>
    <hyperlink ref="M73" location="Dam_Subrates_Nme" display="Dam Subrates" xr:uid="{DC931EE4-25C4-444E-A4AF-E670612BC683}"/>
    <hyperlink ref="Z73:BH73" location="Dam_Subrates_Nme" display="Dam Subrates" xr:uid="{7E716FA9-4FE6-4B6E-AEEA-5178AB8F2204}"/>
    <hyperlink ref="N73" location="Dam_Subrates_Nme" display="Dam Subrates" xr:uid="{E5823AA6-B741-49E6-9C7E-EB1CD9EF9C44}"/>
    <hyperlink ref="O73" location="Dam_Subrates_Nme" display="Dam Subrates" xr:uid="{6F16E641-2AE5-4D8B-BBDA-42C6B6B4563B}"/>
    <hyperlink ref="P73" location="Dam_Subrates_Nme" display="Dam Subrates" xr:uid="{65D51405-C36E-4907-8448-E1DA10B3CD70}"/>
    <hyperlink ref="Q73" location="Dam_Subrates_Nme" display="Dam Subrates" xr:uid="{828B81B4-36D9-4B22-90F3-D4092E0AD23B}"/>
    <hyperlink ref="R73" location="Dam_Subrates_Nme" display="Dam Subrates" xr:uid="{C2969B77-0F9A-41F5-9B23-450EC23326C9}"/>
    <hyperlink ref="S73" location="Dam_Subrates_Nme" display="Dam Subrates" xr:uid="{8C389C35-FE4C-4D6C-8EF7-C658AE436EB1}"/>
    <hyperlink ref="T73" location="Dam_Subrates_Nme" display="Dam Subrates" xr:uid="{6E7F86B5-C5DD-458A-92AF-96A8C2ECF7DA}"/>
    <hyperlink ref="U73" location="Dam_Subrates_Nme" display="Dam Subrates" xr:uid="{B72D5D5B-AB28-4DD1-8339-6DA8B1383E01}"/>
    <hyperlink ref="V73" location="Dam_Subrates_Nme" display="Dam Subrates" xr:uid="{F84B2E8F-5106-4DB7-9616-EE14F5568238}"/>
    <hyperlink ref="W73" location="Dam_Subrates_Nme" display="Dam Subrates" xr:uid="{7FF51ECA-35ED-4C49-A190-6DAFD5FCB9B4}"/>
    <hyperlink ref="X73" location="Dam_Subrates_Nme" display="Dam Subrates" xr:uid="{A8A1DD60-D986-4473-A1A6-4A2F55DAC975}"/>
    <hyperlink ref="Y73" location="Dam_Subrates_Nme" display="Dam Subrates" xr:uid="{AACB2CC8-C445-4B9D-B4BC-4ECAD879BE25}"/>
  </hyperlinks>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A3DF6-2320-4613-9ACC-8BF87D3464B6}">
  <sheetPr codeName="Sheet56">
    <tabColor theme="9" tint="-0.499984740745262"/>
  </sheetPr>
  <dimension ref="B2:BL51"/>
  <sheetViews>
    <sheetView showGridLines="0" zoomScaleNormal="100" workbookViewId="0">
      <pane xSplit="4" ySplit="8" topLeftCell="E9" activePane="bottomRight" state="frozen"/>
      <selection pane="topRight" activeCell="E1" sqref="E1"/>
      <selection pane="bottomLeft" activeCell="A8" sqref="A8"/>
      <selection pane="bottomRight"/>
    </sheetView>
  </sheetViews>
  <sheetFormatPr defaultColWidth="9.28515625" defaultRowHeight="12"/>
  <cols>
    <col min="1" max="1" width="1.42578125" style="494" customWidth="1"/>
    <col min="2" max="3" width="11.5703125" style="494" customWidth="1"/>
    <col min="4" max="4" width="28.5703125" style="494" customWidth="1"/>
    <col min="5" max="5" width="18.28515625" style="494" customWidth="1"/>
    <col min="6" max="8" width="16.5703125" style="494" customWidth="1"/>
    <col min="9" max="9" width="18.28515625" style="497" customWidth="1"/>
    <col min="10" max="10" width="16.5703125" style="497" customWidth="1"/>
    <col min="11" max="11" width="18.42578125" style="497" customWidth="1"/>
    <col min="12" max="12" width="16.5703125" style="497" customWidth="1"/>
    <col min="13" max="45" width="16.5703125" style="494" customWidth="1"/>
    <col min="46" max="62" width="18.5703125" style="494" customWidth="1"/>
    <col min="63" max="16384" width="9.28515625" style="494"/>
  </cols>
  <sheetData>
    <row r="2" spans="2:63" ht="16.350000000000001" customHeight="1">
      <c r="B2" s="225" t="str">
        <f>CONTENTS!$B$2</f>
        <v>Petroleum and Gas Estimated Rehabilitation Cost Calculator</v>
      </c>
      <c r="C2" s="495"/>
      <c r="F2" s="497"/>
      <c r="G2" s="497"/>
      <c r="H2" s="497"/>
      <c r="J2" s="494"/>
    </row>
    <row r="3" spans="2:63" ht="20.100000000000001" customHeight="1">
      <c r="B3" s="20" t="s">
        <v>305</v>
      </c>
      <c r="C3" s="571" t="s">
        <v>327</v>
      </c>
      <c r="D3" s="498"/>
      <c r="F3" s="497"/>
      <c r="G3" s="497"/>
      <c r="H3" s="497"/>
      <c r="I3" s="494"/>
      <c r="J3" s="494"/>
    </row>
    <row r="4" spans="2:63" ht="20.100000000000001" customHeight="1">
      <c r="B4" s="497"/>
      <c r="C4" s="618" t="s">
        <v>1994</v>
      </c>
      <c r="D4" s="572">
        <f>BJ41</f>
        <v>0</v>
      </c>
      <c r="E4" s="497"/>
      <c r="F4" s="497"/>
      <c r="G4" s="497"/>
      <c r="H4" s="497"/>
      <c r="I4" s="494"/>
      <c r="J4" s="494"/>
    </row>
    <row r="5" spans="2:63" ht="20.100000000000001" customHeight="1">
      <c r="B5" s="497"/>
      <c r="C5" s="618" t="s">
        <v>1726</v>
      </c>
      <c r="D5" s="572">
        <f>ERC</f>
        <v>0</v>
      </c>
      <c r="E5" s="497"/>
      <c r="F5" s="497"/>
      <c r="G5" s="497"/>
      <c r="H5" s="497"/>
      <c r="I5" s="494"/>
      <c r="J5" s="494"/>
      <c r="AX5" s="526" t="s">
        <v>84</v>
      </c>
      <c r="AY5" s="633">
        <f>Subrates!$D$163</f>
        <v>5852.5683548844463</v>
      </c>
      <c r="AZ5" s="633">
        <f>Subrates!$D$164</f>
        <v>1555.9705592014548</v>
      </c>
      <c r="BC5" s="526" t="s">
        <v>84</v>
      </c>
      <c r="BD5" s="633">
        <f>Subrates!$D$159</f>
        <v>35075.581888424982</v>
      </c>
      <c r="BE5" s="633">
        <f>Subrates!$D$160</f>
        <v>3920.7764895466953</v>
      </c>
    </row>
    <row r="6" spans="2:63" ht="16.350000000000001" customHeight="1">
      <c r="D6" s="509"/>
      <c r="F6" s="497"/>
      <c r="G6" s="497"/>
      <c r="H6" s="497"/>
      <c r="I6" s="494"/>
      <c r="J6" s="494"/>
      <c r="K6" s="494"/>
      <c r="L6" s="494"/>
      <c r="W6" s="526" t="s">
        <v>0</v>
      </c>
      <c r="X6" s="665" t="s">
        <v>1995</v>
      </c>
      <c r="AA6" s="526" t="s">
        <v>0</v>
      </c>
      <c r="AB6" s="20" t="s">
        <v>1996</v>
      </c>
      <c r="AX6" s="511" t="s">
        <v>1</v>
      </c>
      <c r="AY6" s="530" t="s">
        <v>119</v>
      </c>
      <c r="AZ6" s="530" t="s">
        <v>119</v>
      </c>
      <c r="BC6" s="511" t="s">
        <v>1</v>
      </c>
      <c r="BD6" s="530" t="s">
        <v>119</v>
      </c>
      <c r="BE6" s="530" t="s">
        <v>119</v>
      </c>
    </row>
    <row r="7" spans="2:63" ht="18" customHeight="1">
      <c r="B7" s="20" t="s">
        <v>77</v>
      </c>
      <c r="C7" s="634" t="s">
        <v>1997</v>
      </c>
      <c r="D7" s="635"/>
      <c r="E7" s="636" t="s">
        <v>143</v>
      </c>
      <c r="F7" s="637"/>
      <c r="G7" s="637"/>
      <c r="H7" s="637"/>
      <c r="I7" s="637"/>
      <c r="J7" s="638"/>
      <c r="K7" s="636" t="s">
        <v>174</v>
      </c>
      <c r="L7" s="637"/>
      <c r="M7" s="637"/>
      <c r="N7" s="638"/>
      <c r="O7" s="639" t="s">
        <v>1998</v>
      </c>
      <c r="P7" s="637"/>
      <c r="Q7" s="637"/>
      <c r="R7" s="637"/>
      <c r="S7" s="637"/>
      <c r="T7" s="637"/>
      <c r="U7" s="637"/>
      <c r="V7" s="637"/>
      <c r="W7" s="637"/>
      <c r="X7" s="636" t="s">
        <v>195</v>
      </c>
      <c r="Y7" s="638"/>
      <c r="Z7" s="636" t="s">
        <v>1999</v>
      </c>
      <c r="AA7" s="637"/>
      <c r="AB7" s="637"/>
      <c r="AC7" s="637"/>
      <c r="AD7" s="638"/>
      <c r="AE7" s="636" t="s">
        <v>1952</v>
      </c>
      <c r="AF7" s="637"/>
      <c r="AG7" s="638"/>
      <c r="AH7" s="639" t="s">
        <v>2000</v>
      </c>
      <c r="AI7" s="637"/>
      <c r="AJ7" s="637"/>
      <c r="AK7" s="637"/>
      <c r="AL7" s="637"/>
      <c r="AM7" s="637"/>
      <c r="AN7" s="637"/>
      <c r="AO7" s="637"/>
      <c r="AP7" s="637"/>
      <c r="AQ7" s="637"/>
      <c r="AR7" s="637"/>
      <c r="AS7" s="637"/>
      <c r="AT7" s="636" t="s">
        <v>2001</v>
      </c>
      <c r="AU7" s="640"/>
      <c r="AV7" s="640"/>
      <c r="AW7" s="640"/>
      <c r="AX7" s="636" t="s">
        <v>2002</v>
      </c>
      <c r="AY7" s="640"/>
      <c r="AZ7" s="640"/>
      <c r="BA7" s="640"/>
      <c r="BB7" s="640"/>
      <c r="BC7" s="640"/>
      <c r="BD7" s="640"/>
      <c r="BE7" s="640"/>
      <c r="BF7" s="636" t="s">
        <v>109</v>
      </c>
      <c r="BG7" s="640"/>
      <c r="BH7" s="640"/>
      <c r="BI7" s="640"/>
      <c r="BJ7" s="641"/>
      <c r="BK7"/>
    </row>
    <row r="8" spans="2:63" s="647" customFormat="1" ht="48" customHeight="1">
      <c r="B8" s="509" t="s">
        <v>80</v>
      </c>
      <c r="C8" s="509" t="s">
        <v>439</v>
      </c>
      <c r="D8" s="642" t="s">
        <v>1774</v>
      </c>
      <c r="E8" s="643" t="s">
        <v>22</v>
      </c>
      <c r="F8" s="644" t="s">
        <v>2003</v>
      </c>
      <c r="G8" s="644" t="s">
        <v>2004</v>
      </c>
      <c r="H8" s="644" t="s">
        <v>2005</v>
      </c>
      <c r="I8" s="644" t="s">
        <v>1817</v>
      </c>
      <c r="J8" s="644" t="s">
        <v>2006</v>
      </c>
      <c r="K8" s="644" t="s">
        <v>2007</v>
      </c>
      <c r="L8" s="644" t="s">
        <v>2008</v>
      </c>
      <c r="M8" s="644" t="s">
        <v>2009</v>
      </c>
      <c r="N8" s="644" t="s">
        <v>2010</v>
      </c>
      <c r="O8" s="644" t="s">
        <v>2011</v>
      </c>
      <c r="P8" s="644" t="s">
        <v>2012</v>
      </c>
      <c r="Q8" s="644" t="s">
        <v>2013</v>
      </c>
      <c r="R8" s="644" t="s">
        <v>2014</v>
      </c>
      <c r="S8" s="644" t="s">
        <v>2015</v>
      </c>
      <c r="T8" s="644" t="s">
        <v>2016</v>
      </c>
      <c r="U8" s="644" t="s">
        <v>2017</v>
      </c>
      <c r="V8" s="644" t="s">
        <v>2018</v>
      </c>
      <c r="W8" s="644" t="s">
        <v>2019</v>
      </c>
      <c r="X8" s="644" t="s">
        <v>2020</v>
      </c>
      <c r="Y8" s="644" t="s">
        <v>2021</v>
      </c>
      <c r="Z8" s="644" t="s">
        <v>2022</v>
      </c>
      <c r="AA8" s="644" t="s">
        <v>2023</v>
      </c>
      <c r="AB8" s="644" t="s">
        <v>2024</v>
      </c>
      <c r="AC8" s="644" t="s">
        <v>2025</v>
      </c>
      <c r="AD8" s="644" t="s">
        <v>2026</v>
      </c>
      <c r="AE8" s="644" t="s">
        <v>2027</v>
      </c>
      <c r="AF8" s="644" t="s">
        <v>2028</v>
      </c>
      <c r="AG8" s="644" t="s">
        <v>2029</v>
      </c>
      <c r="AH8" s="643" t="s">
        <v>2030</v>
      </c>
      <c r="AI8" s="645"/>
      <c r="AJ8" s="643" t="s">
        <v>2031</v>
      </c>
      <c r="AK8" s="645"/>
      <c r="AL8" s="643" t="s">
        <v>2032</v>
      </c>
      <c r="AM8" s="645"/>
      <c r="AN8" s="643" t="s">
        <v>2033</v>
      </c>
      <c r="AO8" s="645"/>
      <c r="AP8" s="643" t="s">
        <v>2034</v>
      </c>
      <c r="AQ8" s="645"/>
      <c r="AR8" s="643" t="s">
        <v>94</v>
      </c>
      <c r="AS8" s="645"/>
      <c r="AT8" s="644" t="s">
        <v>2035</v>
      </c>
      <c r="AU8" s="644" t="s">
        <v>2036</v>
      </c>
      <c r="AV8" s="644" t="s">
        <v>2037</v>
      </c>
      <c r="AW8" s="644" t="s">
        <v>2038</v>
      </c>
      <c r="AX8" s="644" t="s">
        <v>2039</v>
      </c>
      <c r="AY8" s="644" t="s">
        <v>2040</v>
      </c>
      <c r="AZ8" s="644" t="s">
        <v>2041</v>
      </c>
      <c r="BA8" s="644" t="s">
        <v>2042</v>
      </c>
      <c r="BB8" s="644" t="s">
        <v>2043</v>
      </c>
      <c r="BC8" s="644" t="s">
        <v>2044</v>
      </c>
      <c r="BD8" s="644" t="s">
        <v>2045</v>
      </c>
      <c r="BE8" s="644" t="s">
        <v>2046</v>
      </c>
      <c r="BF8" s="646" t="s">
        <v>2047</v>
      </c>
      <c r="BG8" s="644" t="s">
        <v>214</v>
      </c>
      <c r="BH8" s="644" t="s">
        <v>81</v>
      </c>
      <c r="BI8" s="644" t="s">
        <v>2048</v>
      </c>
      <c r="BJ8" s="646" t="s">
        <v>2049</v>
      </c>
      <c r="BK8"/>
    </row>
    <row r="9" spans="2:63" customFormat="1" ht="18" customHeight="1">
      <c r="B9" s="497"/>
      <c r="C9" s="497"/>
      <c r="D9" s="497"/>
      <c r="G9" s="552" t="s">
        <v>1777</v>
      </c>
      <c r="H9" s="648" t="s">
        <v>1763</v>
      </c>
      <c r="I9" s="544" t="s">
        <v>1777</v>
      </c>
      <c r="J9" s="544" t="s">
        <v>2050</v>
      </c>
      <c r="K9" s="544" t="s">
        <v>1777</v>
      </c>
      <c r="O9" s="544" t="s">
        <v>2050</v>
      </c>
      <c r="P9" s="544" t="s">
        <v>2050</v>
      </c>
      <c r="Q9" s="544" t="s">
        <v>2050</v>
      </c>
      <c r="AG9" s="552" t="s">
        <v>2050</v>
      </c>
      <c r="AH9" s="552" t="s">
        <v>1777</v>
      </c>
      <c r="AJ9" s="552" t="s">
        <v>1777</v>
      </c>
      <c r="AL9" s="552" t="s">
        <v>1777</v>
      </c>
      <c r="AN9" s="552" t="s">
        <v>1777</v>
      </c>
      <c r="AP9" s="552" t="s">
        <v>1777</v>
      </c>
      <c r="AR9" s="552" t="s">
        <v>1777</v>
      </c>
      <c r="AT9" s="20" t="s">
        <v>2051</v>
      </c>
      <c r="AU9" s="20" t="s">
        <v>2052</v>
      </c>
      <c r="AV9" s="20" t="s">
        <v>2051</v>
      </c>
      <c r="AW9" s="20" t="s">
        <v>2053</v>
      </c>
    </row>
    <row r="10" spans="2:63" customFormat="1" ht="15">
      <c r="B10" s="492">
        <v>1</v>
      </c>
      <c r="C10" s="148"/>
      <c r="D10" s="148"/>
      <c r="E10" s="666"/>
      <c r="F10" s="123"/>
      <c r="G10" s="126" t="s">
        <v>1991</v>
      </c>
      <c r="H10" s="126"/>
      <c r="I10" s="667" t="s">
        <v>124</v>
      </c>
      <c r="J10" s="17"/>
      <c r="K10" s="125" t="s">
        <v>175</v>
      </c>
      <c r="L10" s="4"/>
      <c r="M10" s="487">
        <f t="shared" ref="M10:M39" si="0">IF(K10=Dam_NmeLists_Lined,IF(L10="",J10*1.2,L10),0)</f>
        <v>0</v>
      </c>
      <c r="N10" s="649" t="str">
        <f t="shared" ref="N10:N39" si="1">IF(AND(L10&lt;&gt;"",L10&lt;J10),"E","ok")</f>
        <v>ok</v>
      </c>
      <c r="O10" s="8"/>
      <c r="P10" s="8"/>
      <c r="Q10" s="8"/>
      <c r="R10" s="487">
        <f t="shared" ref="R10:R39" si="2">Q10*O10*2+P10</f>
        <v>0</v>
      </c>
      <c r="S10" s="487">
        <f t="shared" ref="S10:S39" si="3">P10*O10+2*0.5*(R10-P10)/2</f>
        <v>0</v>
      </c>
      <c r="T10" s="4"/>
      <c r="U10" s="487">
        <f t="shared" ref="U10:U39" si="4">SQRT(J10*10000)*4</f>
        <v>0</v>
      </c>
      <c r="V10" s="4"/>
      <c r="W10" s="487">
        <f t="shared" ref="W10:W39" si="5">IF(T10="",S10,T10)*IF(V10="",U10,V10)</f>
        <v>0</v>
      </c>
      <c r="X10" s="17"/>
      <c r="Y10" s="487">
        <f t="shared" ref="Y10:Y39" si="6">J10*10000*IF(X10="",dam_sed_clean_def,X10)</f>
        <v>0</v>
      </c>
      <c r="Z10" s="487">
        <f t="shared" ref="Z10:Z39" si="7">IF(I10=arid,0,J10)</f>
        <v>0</v>
      </c>
      <c r="AA10" s="17"/>
      <c r="AB10" s="650">
        <f t="shared" ref="AB10:AB39" si="8">dam_gm_def</f>
        <v>150</v>
      </c>
      <c r="AC10" s="17"/>
      <c r="AD10" s="487">
        <f t="shared" ref="AD10:AD39" si="9">IF(AA10="",Z10,AA10)*10000*IF(AC10="",AB10,AC10)/1000</f>
        <v>0</v>
      </c>
      <c r="AE10" s="487">
        <f t="shared" ref="AE10:AE39" si="10">J10</f>
        <v>0</v>
      </c>
      <c r="AF10" s="17"/>
      <c r="AG10" s="8"/>
      <c r="AH10" s="132" t="s">
        <v>196</v>
      </c>
      <c r="AI10" s="133"/>
      <c r="AJ10" s="132" t="s">
        <v>91</v>
      </c>
      <c r="AK10" s="133"/>
      <c r="AL10" s="132" t="s">
        <v>2054</v>
      </c>
      <c r="AM10" s="133"/>
      <c r="AN10" s="132" t="s">
        <v>4</v>
      </c>
      <c r="AO10" s="133"/>
      <c r="AP10" s="132" t="s">
        <v>139</v>
      </c>
      <c r="AQ10" s="133"/>
      <c r="AR10" s="132" t="s">
        <v>2055</v>
      </c>
      <c r="AS10" s="133"/>
      <c r="AT10" s="651">
        <f t="shared" ref="AT10:AT39" si="11">INDEX(Load_and_Haul_Values,MATCH(AH10,Load_and_Haul,0),MATCH(AJ10,Fleet_size,0))</f>
        <v>3.7141182019734589</v>
      </c>
      <c r="AU10" s="651">
        <f t="shared" ref="AU10:AU39" si="12">INDEX(Dozer_push_values,MATCH(AL10,Dozer_push_length,0),MATCH(AN10,Dozers,0))</f>
        <v>0.32505803677675804</v>
      </c>
      <c r="AV10" s="651">
        <f t="shared" ref="AV10:AV39" si="13">IF(I10=Arid_nme,0,INDEX(Load_and_Haul_Values,MATCH(AP10,Load_and_Haul,0),MATCH(AR10,Fleet_size,0)))</f>
        <v>3.1249071043050654</v>
      </c>
      <c r="AW10" s="633">
        <f>IF(I10=Lists!$C$41,pasture,IF(I10=Lists!$C$42,native,IF(I10=Lists!$C$43,0,"E")))</f>
        <v>1655.5</v>
      </c>
      <c r="AX10" s="652">
        <f t="shared" ref="AX10:AX39" si="14">Y10*AT10</f>
        <v>0</v>
      </c>
      <c r="AY10" s="652">
        <f t="shared" ref="AY10:AY39" si="15">M10*$AY$5</f>
        <v>0</v>
      </c>
      <c r="AZ10" s="652">
        <f t="shared" ref="AZ10:AZ39" si="16">M10*$AZ$5</f>
        <v>0</v>
      </c>
      <c r="BA10" s="652">
        <f t="shared" ref="BA10:BA39" si="17">AU10*W10</f>
        <v>0</v>
      </c>
      <c r="BB10" s="652">
        <f t="shared" ref="BB10:BB39" si="18">AV10*AD10</f>
        <v>0</v>
      </c>
      <c r="BC10" s="652">
        <f t="shared" ref="BC10:BC39" si="19">AW10*IF(AA10="",Z10,AA10)</f>
        <v>0</v>
      </c>
      <c r="BD10" s="653">
        <f>IF(J10&gt;0,H10*$BD$5/AG10,0)</f>
        <v>0</v>
      </c>
      <c r="BE10" s="652">
        <f t="shared" ref="BE10:BE39" si="20">IF(AF10="",AE10,AF10)*$BE$5</f>
        <v>0</v>
      </c>
      <c r="BF10" s="654">
        <f t="shared" ref="BF10:BF39" si="21">SUM(AX10:BE10)</f>
        <v>0</v>
      </c>
      <c r="BG10" s="655" t="str">
        <f>IF(F10=0,"Enter ML",BF10/F10)</f>
        <v>Enter ML</v>
      </c>
      <c r="BH10" s="655" t="str">
        <f t="shared" ref="BH10:BH39" si="22">IF(J10=0,"Enter area",BF10/J10)</f>
        <v>Enter area</v>
      </c>
      <c r="BI10" s="655" t="str">
        <f>IF(AG10=0,"Enter share cost","")</f>
        <v>Enter share cost</v>
      </c>
      <c r="BJ10" s="656">
        <f t="shared" ref="BJ10:BJ39" si="23">BF10*H10</f>
        <v>0</v>
      </c>
      <c r="BK10" s="212" t="str">
        <f t="shared" ref="BK10:BK39" si="24">IF(AND(J10&gt;0,OR(AG10="",AG10=0)),"Enter #Dams to Share Upfront cost","ok")</f>
        <v>ok</v>
      </c>
    </row>
    <row r="11" spans="2:63" customFormat="1" ht="15">
      <c r="B11" s="492">
        <f>B10+1</f>
        <v>2</v>
      </c>
      <c r="C11" s="148"/>
      <c r="D11" s="148"/>
      <c r="E11" s="666"/>
      <c r="F11" s="123"/>
      <c r="G11" s="126" t="s">
        <v>1991</v>
      </c>
      <c r="H11" s="126"/>
      <c r="I11" s="667" t="s">
        <v>133</v>
      </c>
      <c r="J11" s="17"/>
      <c r="K11" s="125" t="s">
        <v>193</v>
      </c>
      <c r="L11" s="4"/>
      <c r="M11" s="487">
        <f t="shared" si="0"/>
        <v>0</v>
      </c>
      <c r="N11" s="649" t="str">
        <f t="shared" si="1"/>
        <v>ok</v>
      </c>
      <c r="O11" s="8"/>
      <c r="P11" s="8"/>
      <c r="Q11" s="8"/>
      <c r="R11" s="487">
        <f t="shared" si="2"/>
        <v>0</v>
      </c>
      <c r="S11" s="487">
        <f t="shared" si="3"/>
        <v>0</v>
      </c>
      <c r="T11" s="4"/>
      <c r="U11" s="487">
        <f t="shared" si="4"/>
        <v>0</v>
      </c>
      <c r="V11" s="4"/>
      <c r="W11" s="487">
        <f t="shared" si="5"/>
        <v>0</v>
      </c>
      <c r="X11" s="17"/>
      <c r="Y11" s="487">
        <f t="shared" si="6"/>
        <v>0</v>
      </c>
      <c r="Z11" s="487">
        <f t="shared" si="7"/>
        <v>0</v>
      </c>
      <c r="AA11" s="17"/>
      <c r="AB11" s="650">
        <f t="shared" si="8"/>
        <v>150</v>
      </c>
      <c r="AC11" s="17"/>
      <c r="AD11" s="487">
        <f t="shared" si="9"/>
        <v>0</v>
      </c>
      <c r="AE11" s="487">
        <f t="shared" si="10"/>
        <v>0</v>
      </c>
      <c r="AF11" s="17"/>
      <c r="AG11" s="8"/>
      <c r="AH11" s="132" t="s">
        <v>273</v>
      </c>
      <c r="AI11" s="133"/>
      <c r="AJ11" s="132" t="s">
        <v>92</v>
      </c>
      <c r="AK11" s="133"/>
      <c r="AL11" s="132" t="s">
        <v>2056</v>
      </c>
      <c r="AM11" s="133"/>
      <c r="AN11" s="132" t="s">
        <v>4</v>
      </c>
      <c r="AO11" s="133"/>
      <c r="AP11" s="132" t="s">
        <v>273</v>
      </c>
      <c r="AQ11" s="133"/>
      <c r="AR11" s="132" t="s">
        <v>91</v>
      </c>
      <c r="AS11" s="133"/>
      <c r="AT11" s="651">
        <f t="shared" si="11"/>
        <v>2.3107425720267765</v>
      </c>
      <c r="AU11" s="651">
        <f t="shared" si="12"/>
        <v>0.36651249699628813</v>
      </c>
      <c r="AV11" s="651">
        <f t="shared" si="13"/>
        <v>2.9924249772466083</v>
      </c>
      <c r="AW11" s="633">
        <f>IF(I11=Lists!$C$41,pasture,IF(I11=Lists!$C$42,native,IF(I11=Lists!$C$43,0,"E")))</f>
        <v>4196.5</v>
      </c>
      <c r="AX11" s="652">
        <f t="shared" si="14"/>
        <v>0</v>
      </c>
      <c r="AY11" s="652">
        <f t="shared" si="15"/>
        <v>0</v>
      </c>
      <c r="AZ11" s="652">
        <f t="shared" si="16"/>
        <v>0</v>
      </c>
      <c r="BA11" s="652">
        <f t="shared" si="17"/>
        <v>0</v>
      </c>
      <c r="BB11" s="652">
        <f t="shared" si="18"/>
        <v>0</v>
      </c>
      <c r="BC11" s="652">
        <f t="shared" si="19"/>
        <v>0</v>
      </c>
      <c r="BD11" s="653">
        <f t="shared" ref="BD11:BD39" si="25">IF(J11&gt;0,H11*$BD$5/AG11,0)</f>
        <v>0</v>
      </c>
      <c r="BE11" s="652">
        <f t="shared" si="20"/>
        <v>0</v>
      </c>
      <c r="BF11" s="654">
        <f t="shared" si="21"/>
        <v>0</v>
      </c>
      <c r="BG11" s="655" t="str">
        <f t="shared" ref="BG11:BG39" si="26">IF(F11=0,"Enter ML",BF11/F11)</f>
        <v>Enter ML</v>
      </c>
      <c r="BH11" s="655" t="str">
        <f t="shared" si="22"/>
        <v>Enter area</v>
      </c>
      <c r="BI11" s="655" t="str">
        <f t="shared" ref="BI11:BI39" si="27">IF(AG11=0,"Enter share cost","")</f>
        <v>Enter share cost</v>
      </c>
      <c r="BJ11" s="656">
        <f t="shared" si="23"/>
        <v>0</v>
      </c>
      <c r="BK11" s="212" t="str">
        <f t="shared" si="24"/>
        <v>ok</v>
      </c>
    </row>
    <row r="12" spans="2:63" customFormat="1" ht="15">
      <c r="B12" s="492">
        <f t="shared" ref="B12:B39" si="28">B11+1</f>
        <v>3</v>
      </c>
      <c r="C12" s="148"/>
      <c r="D12" s="148"/>
      <c r="E12" s="666"/>
      <c r="F12" s="123"/>
      <c r="G12" s="126" t="s">
        <v>1991</v>
      </c>
      <c r="H12" s="126"/>
      <c r="I12" s="667" t="s">
        <v>124</v>
      </c>
      <c r="J12" s="17"/>
      <c r="K12" s="125" t="s">
        <v>175</v>
      </c>
      <c r="L12" s="4"/>
      <c r="M12" s="487">
        <f t="shared" si="0"/>
        <v>0</v>
      </c>
      <c r="N12" s="649" t="str">
        <f t="shared" si="1"/>
        <v>ok</v>
      </c>
      <c r="O12" s="8"/>
      <c r="P12" s="8"/>
      <c r="Q12" s="8"/>
      <c r="R12" s="487">
        <f t="shared" si="2"/>
        <v>0</v>
      </c>
      <c r="S12" s="487">
        <f t="shared" si="3"/>
        <v>0</v>
      </c>
      <c r="T12" s="4"/>
      <c r="U12" s="487">
        <f t="shared" si="4"/>
        <v>0</v>
      </c>
      <c r="V12" s="4"/>
      <c r="W12" s="487">
        <f t="shared" si="5"/>
        <v>0</v>
      </c>
      <c r="X12" s="17"/>
      <c r="Y12" s="487">
        <f t="shared" si="6"/>
        <v>0</v>
      </c>
      <c r="Z12" s="487">
        <f t="shared" si="7"/>
        <v>0</v>
      </c>
      <c r="AA12" s="17"/>
      <c r="AB12" s="650">
        <f t="shared" si="8"/>
        <v>150</v>
      </c>
      <c r="AC12" s="17"/>
      <c r="AD12" s="487">
        <f t="shared" si="9"/>
        <v>0</v>
      </c>
      <c r="AE12" s="487">
        <f t="shared" si="10"/>
        <v>0</v>
      </c>
      <c r="AF12" s="17"/>
      <c r="AG12" s="8"/>
      <c r="AH12" s="132" t="s">
        <v>273</v>
      </c>
      <c r="AI12" s="133"/>
      <c r="AJ12" s="132" t="s">
        <v>92</v>
      </c>
      <c r="AK12" s="133"/>
      <c r="AL12" s="132" t="s">
        <v>2056</v>
      </c>
      <c r="AM12" s="133"/>
      <c r="AN12" s="132" t="s">
        <v>4</v>
      </c>
      <c r="AO12" s="133"/>
      <c r="AP12" s="132" t="s">
        <v>273</v>
      </c>
      <c r="AQ12" s="133"/>
      <c r="AR12" s="132" t="s">
        <v>92</v>
      </c>
      <c r="AS12" s="133"/>
      <c r="AT12" s="651">
        <f t="shared" si="11"/>
        <v>2.3107425720267765</v>
      </c>
      <c r="AU12" s="651">
        <f t="shared" si="12"/>
        <v>0.36651249699628813</v>
      </c>
      <c r="AV12" s="651">
        <f t="shared" si="13"/>
        <v>2.3107425720267765</v>
      </c>
      <c r="AW12" s="633">
        <f>IF(I12=Lists!$C$41,pasture,IF(I12=Lists!$C$42,native,IF(I12=Lists!$C$43,0,"E")))</f>
        <v>1655.5</v>
      </c>
      <c r="AX12" s="652">
        <f t="shared" si="14"/>
        <v>0</v>
      </c>
      <c r="AY12" s="652">
        <f t="shared" si="15"/>
        <v>0</v>
      </c>
      <c r="AZ12" s="652">
        <f t="shared" si="16"/>
        <v>0</v>
      </c>
      <c r="BA12" s="652">
        <f t="shared" si="17"/>
        <v>0</v>
      </c>
      <c r="BB12" s="652">
        <f t="shared" si="18"/>
        <v>0</v>
      </c>
      <c r="BC12" s="652">
        <f t="shared" si="19"/>
        <v>0</v>
      </c>
      <c r="BD12" s="653">
        <f t="shared" si="25"/>
        <v>0</v>
      </c>
      <c r="BE12" s="652">
        <f t="shared" si="20"/>
        <v>0</v>
      </c>
      <c r="BF12" s="654">
        <f t="shared" si="21"/>
        <v>0</v>
      </c>
      <c r="BG12" s="655" t="str">
        <f t="shared" si="26"/>
        <v>Enter ML</v>
      </c>
      <c r="BH12" s="655" t="str">
        <f t="shared" si="22"/>
        <v>Enter area</v>
      </c>
      <c r="BI12" s="655" t="str">
        <f t="shared" si="27"/>
        <v>Enter share cost</v>
      </c>
      <c r="BJ12" s="656">
        <f t="shared" si="23"/>
        <v>0</v>
      </c>
      <c r="BK12" s="212" t="str">
        <f t="shared" si="24"/>
        <v>ok</v>
      </c>
    </row>
    <row r="13" spans="2:63" customFormat="1" ht="15">
      <c r="B13" s="492">
        <f t="shared" si="28"/>
        <v>4</v>
      </c>
      <c r="C13" s="148"/>
      <c r="D13" s="148"/>
      <c r="E13" s="666"/>
      <c r="F13" s="123"/>
      <c r="G13" s="126" t="s">
        <v>1991</v>
      </c>
      <c r="H13" s="126"/>
      <c r="I13" s="667" t="s">
        <v>124</v>
      </c>
      <c r="J13" s="17"/>
      <c r="K13" s="125" t="s">
        <v>175</v>
      </c>
      <c r="L13" s="4"/>
      <c r="M13" s="487">
        <f t="shared" si="0"/>
        <v>0</v>
      </c>
      <c r="N13" s="649" t="str">
        <f t="shared" si="1"/>
        <v>ok</v>
      </c>
      <c r="O13" s="8"/>
      <c r="P13" s="8"/>
      <c r="Q13" s="8"/>
      <c r="R13" s="487">
        <f t="shared" si="2"/>
        <v>0</v>
      </c>
      <c r="S13" s="487">
        <f t="shared" si="3"/>
        <v>0</v>
      </c>
      <c r="T13" s="4"/>
      <c r="U13" s="487">
        <f t="shared" si="4"/>
        <v>0</v>
      </c>
      <c r="V13" s="4"/>
      <c r="W13" s="487">
        <f t="shared" si="5"/>
        <v>0</v>
      </c>
      <c r="X13" s="17"/>
      <c r="Y13" s="487">
        <f t="shared" si="6"/>
        <v>0</v>
      </c>
      <c r="Z13" s="487">
        <f t="shared" si="7"/>
        <v>0</v>
      </c>
      <c r="AA13" s="17"/>
      <c r="AB13" s="650">
        <f t="shared" si="8"/>
        <v>150</v>
      </c>
      <c r="AC13" s="17"/>
      <c r="AD13" s="487">
        <f t="shared" si="9"/>
        <v>0</v>
      </c>
      <c r="AE13" s="487">
        <f t="shared" si="10"/>
        <v>0</v>
      </c>
      <c r="AF13" s="17"/>
      <c r="AG13" s="8"/>
      <c r="AH13" s="132" t="s">
        <v>273</v>
      </c>
      <c r="AI13" s="133"/>
      <c r="AJ13" s="132" t="s">
        <v>92</v>
      </c>
      <c r="AK13" s="133"/>
      <c r="AL13" s="132" t="s">
        <v>2056</v>
      </c>
      <c r="AM13" s="133"/>
      <c r="AN13" s="132" t="s">
        <v>4</v>
      </c>
      <c r="AO13" s="133"/>
      <c r="AP13" s="132" t="s">
        <v>273</v>
      </c>
      <c r="AQ13" s="133"/>
      <c r="AR13" s="132" t="s">
        <v>92</v>
      </c>
      <c r="AS13" s="133"/>
      <c r="AT13" s="651">
        <f t="shared" si="11"/>
        <v>2.3107425720267765</v>
      </c>
      <c r="AU13" s="651">
        <f t="shared" si="12"/>
        <v>0.36651249699628813</v>
      </c>
      <c r="AV13" s="651">
        <f t="shared" si="13"/>
        <v>2.3107425720267765</v>
      </c>
      <c r="AW13" s="633">
        <f>IF(I13=Lists!$C$41,pasture,IF(I13=Lists!$C$42,native,IF(I13=Lists!$C$43,0,"E")))</f>
        <v>1655.5</v>
      </c>
      <c r="AX13" s="652">
        <f t="shared" si="14"/>
        <v>0</v>
      </c>
      <c r="AY13" s="652">
        <f t="shared" si="15"/>
        <v>0</v>
      </c>
      <c r="AZ13" s="652">
        <f t="shared" si="16"/>
        <v>0</v>
      </c>
      <c r="BA13" s="652">
        <f t="shared" si="17"/>
        <v>0</v>
      </c>
      <c r="BB13" s="652">
        <f t="shared" si="18"/>
        <v>0</v>
      </c>
      <c r="BC13" s="652">
        <f t="shared" si="19"/>
        <v>0</v>
      </c>
      <c r="BD13" s="653">
        <f t="shared" si="25"/>
        <v>0</v>
      </c>
      <c r="BE13" s="652">
        <f t="shared" si="20"/>
        <v>0</v>
      </c>
      <c r="BF13" s="654">
        <f t="shared" si="21"/>
        <v>0</v>
      </c>
      <c r="BG13" s="655" t="str">
        <f t="shared" si="26"/>
        <v>Enter ML</v>
      </c>
      <c r="BH13" s="655" t="str">
        <f t="shared" si="22"/>
        <v>Enter area</v>
      </c>
      <c r="BI13" s="655" t="str">
        <f t="shared" si="27"/>
        <v>Enter share cost</v>
      </c>
      <c r="BJ13" s="656">
        <f t="shared" si="23"/>
        <v>0</v>
      </c>
      <c r="BK13" s="212" t="str">
        <f t="shared" si="24"/>
        <v>ok</v>
      </c>
    </row>
    <row r="14" spans="2:63" customFormat="1" ht="15">
      <c r="B14" s="492">
        <f t="shared" si="28"/>
        <v>5</v>
      </c>
      <c r="C14" s="148"/>
      <c r="D14" s="148"/>
      <c r="E14" s="666"/>
      <c r="F14" s="123"/>
      <c r="G14" s="126" t="s">
        <v>1991</v>
      </c>
      <c r="H14" s="126"/>
      <c r="I14" s="667" t="s">
        <v>124</v>
      </c>
      <c r="J14" s="17"/>
      <c r="K14" s="125" t="s">
        <v>175</v>
      </c>
      <c r="L14" s="4"/>
      <c r="M14" s="487">
        <f t="shared" si="0"/>
        <v>0</v>
      </c>
      <c r="N14" s="649" t="str">
        <f t="shared" si="1"/>
        <v>ok</v>
      </c>
      <c r="O14" s="8"/>
      <c r="P14" s="8"/>
      <c r="Q14" s="8"/>
      <c r="R14" s="487">
        <f t="shared" si="2"/>
        <v>0</v>
      </c>
      <c r="S14" s="487">
        <f t="shared" si="3"/>
        <v>0</v>
      </c>
      <c r="T14" s="4"/>
      <c r="U14" s="487">
        <f t="shared" si="4"/>
        <v>0</v>
      </c>
      <c r="V14" s="4"/>
      <c r="W14" s="487">
        <f t="shared" si="5"/>
        <v>0</v>
      </c>
      <c r="X14" s="17"/>
      <c r="Y14" s="487">
        <f t="shared" si="6"/>
        <v>0</v>
      </c>
      <c r="Z14" s="487">
        <f t="shared" si="7"/>
        <v>0</v>
      </c>
      <c r="AA14" s="17"/>
      <c r="AB14" s="650">
        <f t="shared" si="8"/>
        <v>150</v>
      </c>
      <c r="AC14" s="17"/>
      <c r="AD14" s="487">
        <f t="shared" si="9"/>
        <v>0</v>
      </c>
      <c r="AE14" s="487">
        <f t="shared" si="10"/>
        <v>0</v>
      </c>
      <c r="AF14" s="17"/>
      <c r="AG14" s="8"/>
      <c r="AH14" s="132" t="s">
        <v>273</v>
      </c>
      <c r="AI14" s="133"/>
      <c r="AJ14" s="132" t="s">
        <v>92</v>
      </c>
      <c r="AK14" s="133"/>
      <c r="AL14" s="132" t="s">
        <v>2056</v>
      </c>
      <c r="AM14" s="133"/>
      <c r="AN14" s="132" t="s">
        <v>4</v>
      </c>
      <c r="AO14" s="133"/>
      <c r="AP14" s="132" t="s">
        <v>273</v>
      </c>
      <c r="AQ14" s="133"/>
      <c r="AR14" s="132" t="s">
        <v>92</v>
      </c>
      <c r="AS14" s="133"/>
      <c r="AT14" s="651">
        <f t="shared" si="11"/>
        <v>2.3107425720267765</v>
      </c>
      <c r="AU14" s="651">
        <f t="shared" si="12"/>
        <v>0.36651249699628813</v>
      </c>
      <c r="AV14" s="651">
        <f t="shared" si="13"/>
        <v>2.3107425720267765</v>
      </c>
      <c r="AW14" s="633">
        <f>IF(I14=Lists!$C$41,pasture,IF(I14=Lists!$C$42,native,IF(I14=Lists!$C$43,0,"E")))</f>
        <v>1655.5</v>
      </c>
      <c r="AX14" s="652">
        <f t="shared" si="14"/>
        <v>0</v>
      </c>
      <c r="AY14" s="652">
        <f t="shared" si="15"/>
        <v>0</v>
      </c>
      <c r="AZ14" s="652">
        <f t="shared" si="16"/>
        <v>0</v>
      </c>
      <c r="BA14" s="652">
        <f t="shared" si="17"/>
        <v>0</v>
      </c>
      <c r="BB14" s="652">
        <f t="shared" si="18"/>
        <v>0</v>
      </c>
      <c r="BC14" s="652">
        <f t="shared" si="19"/>
        <v>0</v>
      </c>
      <c r="BD14" s="653">
        <f t="shared" si="25"/>
        <v>0</v>
      </c>
      <c r="BE14" s="652">
        <f t="shared" si="20"/>
        <v>0</v>
      </c>
      <c r="BF14" s="654">
        <f t="shared" si="21"/>
        <v>0</v>
      </c>
      <c r="BG14" s="655" t="str">
        <f t="shared" si="26"/>
        <v>Enter ML</v>
      </c>
      <c r="BH14" s="655" t="str">
        <f t="shared" si="22"/>
        <v>Enter area</v>
      </c>
      <c r="BI14" s="655" t="str">
        <f t="shared" si="27"/>
        <v>Enter share cost</v>
      </c>
      <c r="BJ14" s="656">
        <f t="shared" si="23"/>
        <v>0</v>
      </c>
      <c r="BK14" s="212" t="str">
        <f t="shared" si="24"/>
        <v>ok</v>
      </c>
    </row>
    <row r="15" spans="2:63" customFormat="1" ht="15">
      <c r="B15" s="492">
        <f t="shared" si="28"/>
        <v>6</v>
      </c>
      <c r="C15" s="148"/>
      <c r="D15" s="148"/>
      <c r="E15" s="666"/>
      <c r="F15" s="123"/>
      <c r="G15" s="126" t="s">
        <v>1991</v>
      </c>
      <c r="H15" s="126"/>
      <c r="I15" s="667" t="s">
        <v>124</v>
      </c>
      <c r="J15" s="17"/>
      <c r="K15" s="125" t="s">
        <v>175</v>
      </c>
      <c r="L15" s="4"/>
      <c r="M15" s="487">
        <f t="shared" si="0"/>
        <v>0</v>
      </c>
      <c r="N15" s="649" t="str">
        <f t="shared" si="1"/>
        <v>ok</v>
      </c>
      <c r="O15" s="8"/>
      <c r="P15" s="8"/>
      <c r="Q15" s="8"/>
      <c r="R15" s="487">
        <f t="shared" si="2"/>
        <v>0</v>
      </c>
      <c r="S15" s="487">
        <f t="shared" si="3"/>
        <v>0</v>
      </c>
      <c r="T15" s="4"/>
      <c r="U15" s="487">
        <f t="shared" si="4"/>
        <v>0</v>
      </c>
      <c r="V15" s="4"/>
      <c r="W15" s="487">
        <f t="shared" si="5"/>
        <v>0</v>
      </c>
      <c r="X15" s="17"/>
      <c r="Y15" s="487">
        <f t="shared" si="6"/>
        <v>0</v>
      </c>
      <c r="Z15" s="487">
        <f t="shared" si="7"/>
        <v>0</v>
      </c>
      <c r="AA15" s="17"/>
      <c r="AB15" s="650">
        <f t="shared" si="8"/>
        <v>150</v>
      </c>
      <c r="AC15" s="17"/>
      <c r="AD15" s="487">
        <f t="shared" si="9"/>
        <v>0</v>
      </c>
      <c r="AE15" s="487">
        <f t="shared" si="10"/>
        <v>0</v>
      </c>
      <c r="AF15" s="17"/>
      <c r="AG15" s="8"/>
      <c r="AH15" s="132" t="s">
        <v>273</v>
      </c>
      <c r="AI15" s="133"/>
      <c r="AJ15" s="132" t="s">
        <v>92</v>
      </c>
      <c r="AK15" s="133"/>
      <c r="AL15" s="132" t="s">
        <v>2056</v>
      </c>
      <c r="AM15" s="133"/>
      <c r="AN15" s="132" t="s">
        <v>4</v>
      </c>
      <c r="AO15" s="133"/>
      <c r="AP15" s="132" t="s">
        <v>273</v>
      </c>
      <c r="AQ15" s="133"/>
      <c r="AR15" s="132" t="s">
        <v>92</v>
      </c>
      <c r="AS15" s="133"/>
      <c r="AT15" s="651">
        <f t="shared" si="11"/>
        <v>2.3107425720267765</v>
      </c>
      <c r="AU15" s="651">
        <f t="shared" si="12"/>
        <v>0.36651249699628813</v>
      </c>
      <c r="AV15" s="651">
        <f t="shared" si="13"/>
        <v>2.3107425720267765</v>
      </c>
      <c r="AW15" s="633">
        <f>IF(I15=Lists!$C$41,pasture,IF(I15=Lists!$C$42,native,IF(I15=Lists!$C$43,0,"E")))</f>
        <v>1655.5</v>
      </c>
      <c r="AX15" s="652">
        <f t="shared" si="14"/>
        <v>0</v>
      </c>
      <c r="AY15" s="652">
        <f t="shared" si="15"/>
        <v>0</v>
      </c>
      <c r="AZ15" s="652">
        <f t="shared" si="16"/>
        <v>0</v>
      </c>
      <c r="BA15" s="652">
        <f t="shared" si="17"/>
        <v>0</v>
      </c>
      <c r="BB15" s="652">
        <f t="shared" si="18"/>
        <v>0</v>
      </c>
      <c r="BC15" s="652">
        <f t="shared" si="19"/>
        <v>0</v>
      </c>
      <c r="BD15" s="653">
        <f t="shared" si="25"/>
        <v>0</v>
      </c>
      <c r="BE15" s="652">
        <f t="shared" si="20"/>
        <v>0</v>
      </c>
      <c r="BF15" s="654">
        <f t="shared" si="21"/>
        <v>0</v>
      </c>
      <c r="BG15" s="655" t="str">
        <f t="shared" si="26"/>
        <v>Enter ML</v>
      </c>
      <c r="BH15" s="655" t="str">
        <f t="shared" si="22"/>
        <v>Enter area</v>
      </c>
      <c r="BI15" s="655" t="str">
        <f t="shared" si="27"/>
        <v>Enter share cost</v>
      </c>
      <c r="BJ15" s="656">
        <f t="shared" si="23"/>
        <v>0</v>
      </c>
      <c r="BK15" s="212" t="str">
        <f t="shared" si="24"/>
        <v>ok</v>
      </c>
    </row>
    <row r="16" spans="2:63" customFormat="1" ht="15">
      <c r="B16" s="492">
        <f t="shared" si="28"/>
        <v>7</v>
      </c>
      <c r="C16" s="148"/>
      <c r="D16" s="148"/>
      <c r="E16" s="666"/>
      <c r="F16" s="123"/>
      <c r="G16" s="126" t="s">
        <v>1991</v>
      </c>
      <c r="H16" s="126"/>
      <c r="I16" s="667" t="s">
        <v>124</v>
      </c>
      <c r="J16" s="17"/>
      <c r="K16" s="125" t="s">
        <v>175</v>
      </c>
      <c r="L16" s="4"/>
      <c r="M16" s="487">
        <f t="shared" si="0"/>
        <v>0</v>
      </c>
      <c r="N16" s="649" t="str">
        <f t="shared" si="1"/>
        <v>ok</v>
      </c>
      <c r="O16" s="8"/>
      <c r="P16" s="8"/>
      <c r="Q16" s="8"/>
      <c r="R16" s="487">
        <f t="shared" si="2"/>
        <v>0</v>
      </c>
      <c r="S16" s="487">
        <f t="shared" si="3"/>
        <v>0</v>
      </c>
      <c r="T16" s="4"/>
      <c r="U16" s="487">
        <f t="shared" si="4"/>
        <v>0</v>
      </c>
      <c r="V16" s="4"/>
      <c r="W16" s="487">
        <f t="shared" si="5"/>
        <v>0</v>
      </c>
      <c r="X16" s="17"/>
      <c r="Y16" s="487">
        <f t="shared" si="6"/>
        <v>0</v>
      </c>
      <c r="Z16" s="487">
        <f t="shared" si="7"/>
        <v>0</v>
      </c>
      <c r="AA16" s="17"/>
      <c r="AB16" s="650">
        <f t="shared" si="8"/>
        <v>150</v>
      </c>
      <c r="AC16" s="17"/>
      <c r="AD16" s="487">
        <f t="shared" si="9"/>
        <v>0</v>
      </c>
      <c r="AE16" s="487">
        <f t="shared" si="10"/>
        <v>0</v>
      </c>
      <c r="AF16" s="17"/>
      <c r="AG16" s="8"/>
      <c r="AH16" s="132" t="s">
        <v>273</v>
      </c>
      <c r="AI16" s="133"/>
      <c r="AJ16" s="132" t="s">
        <v>92</v>
      </c>
      <c r="AK16" s="133"/>
      <c r="AL16" s="132" t="s">
        <v>2056</v>
      </c>
      <c r="AM16" s="133"/>
      <c r="AN16" s="132" t="s">
        <v>4</v>
      </c>
      <c r="AO16" s="133"/>
      <c r="AP16" s="132" t="s">
        <v>273</v>
      </c>
      <c r="AQ16" s="133"/>
      <c r="AR16" s="132" t="s">
        <v>92</v>
      </c>
      <c r="AS16" s="133"/>
      <c r="AT16" s="651">
        <f t="shared" si="11"/>
        <v>2.3107425720267765</v>
      </c>
      <c r="AU16" s="651">
        <f t="shared" si="12"/>
        <v>0.36651249699628813</v>
      </c>
      <c r="AV16" s="651">
        <f t="shared" si="13"/>
        <v>2.3107425720267765</v>
      </c>
      <c r="AW16" s="633">
        <f>IF(I16=Lists!$C$41,pasture,IF(I16=Lists!$C$42,native,IF(I16=Lists!$C$43,0,"E")))</f>
        <v>1655.5</v>
      </c>
      <c r="AX16" s="652">
        <f t="shared" si="14"/>
        <v>0</v>
      </c>
      <c r="AY16" s="652">
        <f t="shared" si="15"/>
        <v>0</v>
      </c>
      <c r="AZ16" s="652">
        <f t="shared" si="16"/>
        <v>0</v>
      </c>
      <c r="BA16" s="652">
        <f t="shared" si="17"/>
        <v>0</v>
      </c>
      <c r="BB16" s="652">
        <f t="shared" si="18"/>
        <v>0</v>
      </c>
      <c r="BC16" s="652">
        <f t="shared" si="19"/>
        <v>0</v>
      </c>
      <c r="BD16" s="653">
        <f t="shared" si="25"/>
        <v>0</v>
      </c>
      <c r="BE16" s="652">
        <f t="shared" si="20"/>
        <v>0</v>
      </c>
      <c r="BF16" s="654">
        <f t="shared" si="21"/>
        <v>0</v>
      </c>
      <c r="BG16" s="655" t="str">
        <f t="shared" si="26"/>
        <v>Enter ML</v>
      </c>
      <c r="BH16" s="655" t="str">
        <f t="shared" si="22"/>
        <v>Enter area</v>
      </c>
      <c r="BI16" s="655" t="str">
        <f t="shared" si="27"/>
        <v>Enter share cost</v>
      </c>
      <c r="BJ16" s="656">
        <f t="shared" si="23"/>
        <v>0</v>
      </c>
      <c r="BK16" s="212" t="str">
        <f t="shared" si="24"/>
        <v>ok</v>
      </c>
    </row>
    <row r="17" spans="2:63" customFormat="1" ht="15">
      <c r="B17" s="492">
        <f t="shared" si="28"/>
        <v>8</v>
      </c>
      <c r="C17" s="148"/>
      <c r="D17" s="148"/>
      <c r="E17" s="666"/>
      <c r="F17" s="123"/>
      <c r="G17" s="126" t="s">
        <v>1991</v>
      </c>
      <c r="H17" s="126"/>
      <c r="I17" s="667" t="s">
        <v>124</v>
      </c>
      <c r="J17" s="17"/>
      <c r="K17" s="125" t="s">
        <v>175</v>
      </c>
      <c r="L17" s="4"/>
      <c r="M17" s="487">
        <f t="shared" si="0"/>
        <v>0</v>
      </c>
      <c r="N17" s="649" t="str">
        <f t="shared" si="1"/>
        <v>ok</v>
      </c>
      <c r="O17" s="8"/>
      <c r="P17" s="8"/>
      <c r="Q17" s="8"/>
      <c r="R17" s="487">
        <f t="shared" si="2"/>
        <v>0</v>
      </c>
      <c r="S17" s="487">
        <f t="shared" si="3"/>
        <v>0</v>
      </c>
      <c r="T17" s="4"/>
      <c r="U17" s="487">
        <f t="shared" si="4"/>
        <v>0</v>
      </c>
      <c r="V17" s="4"/>
      <c r="W17" s="487">
        <f t="shared" si="5"/>
        <v>0</v>
      </c>
      <c r="X17" s="17"/>
      <c r="Y17" s="487">
        <f t="shared" si="6"/>
        <v>0</v>
      </c>
      <c r="Z17" s="487">
        <f t="shared" si="7"/>
        <v>0</v>
      </c>
      <c r="AA17" s="17"/>
      <c r="AB17" s="650">
        <f t="shared" si="8"/>
        <v>150</v>
      </c>
      <c r="AC17" s="17"/>
      <c r="AD17" s="487">
        <f t="shared" si="9"/>
        <v>0</v>
      </c>
      <c r="AE17" s="487">
        <f t="shared" si="10"/>
        <v>0</v>
      </c>
      <c r="AF17" s="17"/>
      <c r="AG17" s="8"/>
      <c r="AH17" s="132" t="s">
        <v>273</v>
      </c>
      <c r="AI17" s="133"/>
      <c r="AJ17" s="132" t="s">
        <v>92</v>
      </c>
      <c r="AK17" s="133"/>
      <c r="AL17" s="132" t="s">
        <v>2056</v>
      </c>
      <c r="AM17" s="133"/>
      <c r="AN17" s="132" t="s">
        <v>4</v>
      </c>
      <c r="AO17" s="133"/>
      <c r="AP17" s="132" t="s">
        <v>273</v>
      </c>
      <c r="AQ17" s="133"/>
      <c r="AR17" s="132" t="s">
        <v>92</v>
      </c>
      <c r="AS17" s="133"/>
      <c r="AT17" s="651">
        <f t="shared" si="11"/>
        <v>2.3107425720267765</v>
      </c>
      <c r="AU17" s="651">
        <f t="shared" si="12"/>
        <v>0.36651249699628813</v>
      </c>
      <c r="AV17" s="651">
        <f t="shared" si="13"/>
        <v>2.3107425720267765</v>
      </c>
      <c r="AW17" s="633">
        <f>IF(I17=Lists!$C$41,pasture,IF(I17=Lists!$C$42,native,IF(I17=Lists!$C$43,0,"E")))</f>
        <v>1655.5</v>
      </c>
      <c r="AX17" s="652">
        <f t="shared" si="14"/>
        <v>0</v>
      </c>
      <c r="AY17" s="652">
        <f t="shared" si="15"/>
        <v>0</v>
      </c>
      <c r="AZ17" s="652">
        <f t="shared" si="16"/>
        <v>0</v>
      </c>
      <c r="BA17" s="652">
        <f t="shared" si="17"/>
        <v>0</v>
      </c>
      <c r="BB17" s="652">
        <f t="shared" si="18"/>
        <v>0</v>
      </c>
      <c r="BC17" s="652">
        <f t="shared" si="19"/>
        <v>0</v>
      </c>
      <c r="BD17" s="653">
        <f t="shared" si="25"/>
        <v>0</v>
      </c>
      <c r="BE17" s="652">
        <f t="shared" si="20"/>
        <v>0</v>
      </c>
      <c r="BF17" s="654">
        <f t="shared" si="21"/>
        <v>0</v>
      </c>
      <c r="BG17" s="655" t="str">
        <f t="shared" si="26"/>
        <v>Enter ML</v>
      </c>
      <c r="BH17" s="655" t="str">
        <f t="shared" si="22"/>
        <v>Enter area</v>
      </c>
      <c r="BI17" s="655" t="str">
        <f t="shared" si="27"/>
        <v>Enter share cost</v>
      </c>
      <c r="BJ17" s="656">
        <f t="shared" si="23"/>
        <v>0</v>
      </c>
      <c r="BK17" s="212" t="str">
        <f t="shared" si="24"/>
        <v>ok</v>
      </c>
    </row>
    <row r="18" spans="2:63" customFormat="1" ht="15">
      <c r="B18" s="492">
        <f t="shared" si="28"/>
        <v>9</v>
      </c>
      <c r="C18" s="148"/>
      <c r="D18" s="148"/>
      <c r="E18" s="666"/>
      <c r="F18" s="123"/>
      <c r="G18" s="126" t="s">
        <v>1991</v>
      </c>
      <c r="H18" s="126"/>
      <c r="I18" s="667" t="s">
        <v>133</v>
      </c>
      <c r="J18" s="17"/>
      <c r="K18" s="125" t="s">
        <v>175</v>
      </c>
      <c r="L18" s="4"/>
      <c r="M18" s="487">
        <f t="shared" si="0"/>
        <v>0</v>
      </c>
      <c r="N18" s="649" t="str">
        <f t="shared" si="1"/>
        <v>ok</v>
      </c>
      <c r="O18" s="8"/>
      <c r="P18" s="8"/>
      <c r="Q18" s="8"/>
      <c r="R18" s="487">
        <f t="shared" si="2"/>
        <v>0</v>
      </c>
      <c r="S18" s="487">
        <f t="shared" si="3"/>
        <v>0</v>
      </c>
      <c r="T18" s="4"/>
      <c r="U18" s="487">
        <f t="shared" si="4"/>
        <v>0</v>
      </c>
      <c r="V18" s="4"/>
      <c r="W18" s="487">
        <f t="shared" si="5"/>
        <v>0</v>
      </c>
      <c r="X18" s="17"/>
      <c r="Y18" s="487">
        <f t="shared" si="6"/>
        <v>0</v>
      </c>
      <c r="Z18" s="487">
        <f t="shared" si="7"/>
        <v>0</v>
      </c>
      <c r="AA18" s="17"/>
      <c r="AB18" s="650">
        <f t="shared" si="8"/>
        <v>150</v>
      </c>
      <c r="AC18" s="17"/>
      <c r="AD18" s="487">
        <f t="shared" si="9"/>
        <v>0</v>
      </c>
      <c r="AE18" s="487">
        <f t="shared" si="10"/>
        <v>0</v>
      </c>
      <c r="AF18" s="17"/>
      <c r="AG18" s="8"/>
      <c r="AH18" s="132" t="s">
        <v>273</v>
      </c>
      <c r="AI18" s="133"/>
      <c r="AJ18" s="132" t="s">
        <v>92</v>
      </c>
      <c r="AK18" s="133"/>
      <c r="AL18" s="132" t="s">
        <v>2056</v>
      </c>
      <c r="AM18" s="133"/>
      <c r="AN18" s="132" t="s">
        <v>4</v>
      </c>
      <c r="AO18" s="133"/>
      <c r="AP18" s="132" t="s">
        <v>273</v>
      </c>
      <c r="AQ18" s="133"/>
      <c r="AR18" s="132" t="s">
        <v>92</v>
      </c>
      <c r="AS18" s="133"/>
      <c r="AT18" s="651">
        <f t="shared" si="11"/>
        <v>2.3107425720267765</v>
      </c>
      <c r="AU18" s="651">
        <f t="shared" si="12"/>
        <v>0.36651249699628813</v>
      </c>
      <c r="AV18" s="651">
        <f t="shared" si="13"/>
        <v>2.3107425720267765</v>
      </c>
      <c r="AW18" s="633">
        <f>IF(I18=Lists!$C$41,pasture,IF(I18=Lists!$C$42,native,IF(I18=Lists!$C$43,0,"E")))</f>
        <v>4196.5</v>
      </c>
      <c r="AX18" s="652">
        <f t="shared" si="14"/>
        <v>0</v>
      </c>
      <c r="AY18" s="652">
        <f t="shared" si="15"/>
        <v>0</v>
      </c>
      <c r="AZ18" s="652">
        <f t="shared" si="16"/>
        <v>0</v>
      </c>
      <c r="BA18" s="652">
        <f t="shared" si="17"/>
        <v>0</v>
      </c>
      <c r="BB18" s="652">
        <f t="shared" si="18"/>
        <v>0</v>
      </c>
      <c r="BC18" s="652">
        <f t="shared" si="19"/>
        <v>0</v>
      </c>
      <c r="BD18" s="653">
        <f t="shared" si="25"/>
        <v>0</v>
      </c>
      <c r="BE18" s="652">
        <f t="shared" si="20"/>
        <v>0</v>
      </c>
      <c r="BF18" s="654">
        <f t="shared" si="21"/>
        <v>0</v>
      </c>
      <c r="BG18" s="655" t="str">
        <f t="shared" si="26"/>
        <v>Enter ML</v>
      </c>
      <c r="BH18" s="655" t="str">
        <f t="shared" si="22"/>
        <v>Enter area</v>
      </c>
      <c r="BI18" s="655" t="str">
        <f t="shared" si="27"/>
        <v>Enter share cost</v>
      </c>
      <c r="BJ18" s="656">
        <f t="shared" si="23"/>
        <v>0</v>
      </c>
      <c r="BK18" s="212" t="str">
        <f t="shared" si="24"/>
        <v>ok</v>
      </c>
    </row>
    <row r="19" spans="2:63" customFormat="1" ht="15">
      <c r="B19" s="492">
        <f t="shared" si="28"/>
        <v>10</v>
      </c>
      <c r="C19" s="149"/>
      <c r="D19" s="148"/>
      <c r="E19" s="666"/>
      <c r="F19" s="123"/>
      <c r="G19" s="126" t="s">
        <v>1991</v>
      </c>
      <c r="H19" s="126"/>
      <c r="I19" s="667" t="s">
        <v>124</v>
      </c>
      <c r="J19" s="17"/>
      <c r="K19" s="125" t="s">
        <v>175</v>
      </c>
      <c r="L19" s="4"/>
      <c r="M19" s="487">
        <f t="shared" si="0"/>
        <v>0</v>
      </c>
      <c r="N19" s="649" t="str">
        <f t="shared" si="1"/>
        <v>ok</v>
      </c>
      <c r="O19" s="8"/>
      <c r="P19" s="8"/>
      <c r="Q19" s="8"/>
      <c r="R19" s="487">
        <f t="shared" si="2"/>
        <v>0</v>
      </c>
      <c r="S19" s="487">
        <f t="shared" si="3"/>
        <v>0</v>
      </c>
      <c r="T19" s="4"/>
      <c r="U19" s="487">
        <f t="shared" si="4"/>
        <v>0</v>
      </c>
      <c r="V19" s="4"/>
      <c r="W19" s="487">
        <f t="shared" si="5"/>
        <v>0</v>
      </c>
      <c r="X19" s="17"/>
      <c r="Y19" s="487">
        <f t="shared" si="6"/>
        <v>0</v>
      </c>
      <c r="Z19" s="487">
        <f t="shared" si="7"/>
        <v>0</v>
      </c>
      <c r="AA19" s="17"/>
      <c r="AB19" s="650">
        <f t="shared" si="8"/>
        <v>150</v>
      </c>
      <c r="AC19" s="17"/>
      <c r="AD19" s="487">
        <f t="shared" si="9"/>
        <v>0</v>
      </c>
      <c r="AE19" s="487">
        <f t="shared" si="10"/>
        <v>0</v>
      </c>
      <c r="AF19" s="17"/>
      <c r="AG19" s="8"/>
      <c r="AH19" s="132" t="s">
        <v>273</v>
      </c>
      <c r="AI19" s="133"/>
      <c r="AJ19" s="132" t="s">
        <v>92</v>
      </c>
      <c r="AK19" s="133"/>
      <c r="AL19" s="132" t="s">
        <v>2056</v>
      </c>
      <c r="AM19" s="133"/>
      <c r="AN19" s="132" t="s">
        <v>4</v>
      </c>
      <c r="AO19" s="133"/>
      <c r="AP19" s="132" t="s">
        <v>273</v>
      </c>
      <c r="AQ19" s="133"/>
      <c r="AR19" s="132" t="s">
        <v>92</v>
      </c>
      <c r="AS19" s="133"/>
      <c r="AT19" s="651">
        <f t="shared" si="11"/>
        <v>2.3107425720267765</v>
      </c>
      <c r="AU19" s="651">
        <f t="shared" si="12"/>
        <v>0.36651249699628813</v>
      </c>
      <c r="AV19" s="651">
        <f t="shared" si="13"/>
        <v>2.3107425720267765</v>
      </c>
      <c r="AW19" s="633">
        <f>IF(I19=Lists!$C$41,pasture,IF(I19=Lists!$C$42,native,IF(I19=Lists!$C$43,0,"E")))</f>
        <v>1655.5</v>
      </c>
      <c r="AX19" s="652">
        <f t="shared" si="14"/>
        <v>0</v>
      </c>
      <c r="AY19" s="652">
        <f t="shared" si="15"/>
        <v>0</v>
      </c>
      <c r="AZ19" s="652">
        <f t="shared" si="16"/>
        <v>0</v>
      </c>
      <c r="BA19" s="652">
        <f t="shared" si="17"/>
        <v>0</v>
      </c>
      <c r="BB19" s="652">
        <f t="shared" si="18"/>
        <v>0</v>
      </c>
      <c r="BC19" s="652">
        <f t="shared" si="19"/>
        <v>0</v>
      </c>
      <c r="BD19" s="653">
        <f t="shared" si="25"/>
        <v>0</v>
      </c>
      <c r="BE19" s="652">
        <f t="shared" si="20"/>
        <v>0</v>
      </c>
      <c r="BF19" s="654">
        <f t="shared" si="21"/>
        <v>0</v>
      </c>
      <c r="BG19" s="655" t="str">
        <f t="shared" si="26"/>
        <v>Enter ML</v>
      </c>
      <c r="BH19" s="655" t="str">
        <f t="shared" si="22"/>
        <v>Enter area</v>
      </c>
      <c r="BI19" s="655" t="str">
        <f t="shared" si="27"/>
        <v>Enter share cost</v>
      </c>
      <c r="BJ19" s="656">
        <f t="shared" si="23"/>
        <v>0</v>
      </c>
      <c r="BK19" s="212" t="str">
        <f t="shared" si="24"/>
        <v>ok</v>
      </c>
    </row>
    <row r="20" spans="2:63" customFormat="1" ht="15">
      <c r="B20" s="492">
        <f t="shared" si="28"/>
        <v>11</v>
      </c>
      <c r="C20" s="148"/>
      <c r="D20" s="148"/>
      <c r="E20" s="666"/>
      <c r="F20" s="123"/>
      <c r="G20" s="126" t="s">
        <v>1991</v>
      </c>
      <c r="H20" s="126"/>
      <c r="I20" s="667" t="s">
        <v>124</v>
      </c>
      <c r="J20" s="17"/>
      <c r="K20" s="125" t="s">
        <v>175</v>
      </c>
      <c r="L20" s="4"/>
      <c r="M20" s="487">
        <f t="shared" si="0"/>
        <v>0</v>
      </c>
      <c r="N20" s="649" t="str">
        <f t="shared" si="1"/>
        <v>ok</v>
      </c>
      <c r="O20" s="8"/>
      <c r="P20" s="8"/>
      <c r="Q20" s="8"/>
      <c r="R20" s="487">
        <f t="shared" si="2"/>
        <v>0</v>
      </c>
      <c r="S20" s="487">
        <f t="shared" si="3"/>
        <v>0</v>
      </c>
      <c r="T20" s="4"/>
      <c r="U20" s="487">
        <f t="shared" si="4"/>
        <v>0</v>
      </c>
      <c r="V20" s="4"/>
      <c r="W20" s="487">
        <f t="shared" si="5"/>
        <v>0</v>
      </c>
      <c r="X20" s="17"/>
      <c r="Y20" s="487">
        <f t="shared" si="6"/>
        <v>0</v>
      </c>
      <c r="Z20" s="487">
        <f t="shared" si="7"/>
        <v>0</v>
      </c>
      <c r="AA20" s="17"/>
      <c r="AB20" s="650">
        <f t="shared" si="8"/>
        <v>150</v>
      </c>
      <c r="AC20" s="17"/>
      <c r="AD20" s="487">
        <f t="shared" si="9"/>
        <v>0</v>
      </c>
      <c r="AE20" s="487">
        <f t="shared" si="10"/>
        <v>0</v>
      </c>
      <c r="AF20" s="17"/>
      <c r="AG20" s="8"/>
      <c r="AH20" s="132" t="s">
        <v>273</v>
      </c>
      <c r="AI20" s="133"/>
      <c r="AJ20" s="132" t="s">
        <v>92</v>
      </c>
      <c r="AK20" s="133"/>
      <c r="AL20" s="132" t="s">
        <v>2056</v>
      </c>
      <c r="AM20" s="133"/>
      <c r="AN20" s="132" t="s">
        <v>4</v>
      </c>
      <c r="AO20" s="133"/>
      <c r="AP20" s="132" t="s">
        <v>273</v>
      </c>
      <c r="AQ20" s="133"/>
      <c r="AR20" s="132" t="s">
        <v>92</v>
      </c>
      <c r="AS20" s="133"/>
      <c r="AT20" s="651">
        <f t="shared" si="11"/>
        <v>2.3107425720267765</v>
      </c>
      <c r="AU20" s="651">
        <f t="shared" si="12"/>
        <v>0.36651249699628813</v>
      </c>
      <c r="AV20" s="651">
        <f t="shared" si="13"/>
        <v>2.3107425720267765</v>
      </c>
      <c r="AW20" s="633">
        <f>IF(I20=Lists!$C$41,pasture,IF(I20=Lists!$C$42,native,IF(I20=Lists!$C$43,0,"E")))</f>
        <v>1655.5</v>
      </c>
      <c r="AX20" s="652">
        <f t="shared" si="14"/>
        <v>0</v>
      </c>
      <c r="AY20" s="652">
        <f t="shared" si="15"/>
        <v>0</v>
      </c>
      <c r="AZ20" s="652">
        <f t="shared" si="16"/>
        <v>0</v>
      </c>
      <c r="BA20" s="652">
        <f t="shared" si="17"/>
        <v>0</v>
      </c>
      <c r="BB20" s="652">
        <f t="shared" si="18"/>
        <v>0</v>
      </c>
      <c r="BC20" s="652">
        <f t="shared" si="19"/>
        <v>0</v>
      </c>
      <c r="BD20" s="653">
        <f t="shared" si="25"/>
        <v>0</v>
      </c>
      <c r="BE20" s="652">
        <f t="shared" si="20"/>
        <v>0</v>
      </c>
      <c r="BF20" s="654">
        <f t="shared" si="21"/>
        <v>0</v>
      </c>
      <c r="BG20" s="655" t="str">
        <f t="shared" si="26"/>
        <v>Enter ML</v>
      </c>
      <c r="BH20" s="655" t="str">
        <f t="shared" si="22"/>
        <v>Enter area</v>
      </c>
      <c r="BI20" s="655" t="str">
        <f t="shared" si="27"/>
        <v>Enter share cost</v>
      </c>
      <c r="BJ20" s="656">
        <f t="shared" si="23"/>
        <v>0</v>
      </c>
      <c r="BK20" s="212" t="str">
        <f t="shared" si="24"/>
        <v>ok</v>
      </c>
    </row>
    <row r="21" spans="2:63" customFormat="1" ht="15">
      <c r="B21" s="492">
        <f t="shared" si="28"/>
        <v>12</v>
      </c>
      <c r="C21" s="148"/>
      <c r="D21" s="148"/>
      <c r="E21" s="666"/>
      <c r="F21" s="123"/>
      <c r="G21" s="126" t="s">
        <v>1991</v>
      </c>
      <c r="H21" s="126"/>
      <c r="I21" s="667" t="s">
        <v>99</v>
      </c>
      <c r="J21" s="17"/>
      <c r="K21" s="125" t="s">
        <v>175</v>
      </c>
      <c r="L21" s="4"/>
      <c r="M21" s="487">
        <f t="shared" si="0"/>
        <v>0</v>
      </c>
      <c r="N21" s="649" t="str">
        <f t="shared" si="1"/>
        <v>ok</v>
      </c>
      <c r="O21" s="8"/>
      <c r="P21" s="8"/>
      <c r="Q21" s="8"/>
      <c r="R21" s="487">
        <f t="shared" si="2"/>
        <v>0</v>
      </c>
      <c r="S21" s="487">
        <f t="shared" si="3"/>
        <v>0</v>
      </c>
      <c r="T21" s="4"/>
      <c r="U21" s="487">
        <f t="shared" si="4"/>
        <v>0</v>
      </c>
      <c r="V21" s="4"/>
      <c r="W21" s="487">
        <f t="shared" si="5"/>
        <v>0</v>
      </c>
      <c r="X21" s="17"/>
      <c r="Y21" s="487">
        <f t="shared" si="6"/>
        <v>0</v>
      </c>
      <c r="Z21" s="487">
        <f t="shared" si="7"/>
        <v>0</v>
      </c>
      <c r="AA21" s="17"/>
      <c r="AB21" s="650">
        <f t="shared" si="8"/>
        <v>150</v>
      </c>
      <c r="AC21" s="17"/>
      <c r="AD21" s="487">
        <f t="shared" si="9"/>
        <v>0</v>
      </c>
      <c r="AE21" s="487">
        <f t="shared" si="10"/>
        <v>0</v>
      </c>
      <c r="AF21" s="17"/>
      <c r="AG21" s="8"/>
      <c r="AH21" s="132" t="s">
        <v>273</v>
      </c>
      <c r="AI21" s="133"/>
      <c r="AJ21" s="132" t="s">
        <v>92</v>
      </c>
      <c r="AK21" s="133"/>
      <c r="AL21" s="132" t="s">
        <v>2056</v>
      </c>
      <c r="AM21" s="133"/>
      <c r="AN21" s="132" t="s">
        <v>4</v>
      </c>
      <c r="AO21" s="133"/>
      <c r="AP21" s="132" t="s">
        <v>273</v>
      </c>
      <c r="AQ21" s="133"/>
      <c r="AR21" s="132" t="s">
        <v>92</v>
      </c>
      <c r="AS21" s="133"/>
      <c r="AT21" s="651">
        <f t="shared" si="11"/>
        <v>2.3107425720267765</v>
      </c>
      <c r="AU21" s="651">
        <f t="shared" si="12"/>
        <v>0.36651249699628813</v>
      </c>
      <c r="AV21" s="651">
        <f t="shared" si="13"/>
        <v>0</v>
      </c>
      <c r="AW21" s="633">
        <f>IF(I21=Lists!$C$41,pasture,IF(I21=Lists!$C$42,native,IF(I21=Lists!$C$43,0,"E")))</f>
        <v>0</v>
      </c>
      <c r="AX21" s="652">
        <f t="shared" si="14"/>
        <v>0</v>
      </c>
      <c r="AY21" s="652">
        <f t="shared" si="15"/>
        <v>0</v>
      </c>
      <c r="AZ21" s="652">
        <f t="shared" si="16"/>
        <v>0</v>
      </c>
      <c r="BA21" s="652">
        <f t="shared" si="17"/>
        <v>0</v>
      </c>
      <c r="BB21" s="652">
        <f t="shared" si="18"/>
        <v>0</v>
      </c>
      <c r="BC21" s="652">
        <f t="shared" si="19"/>
        <v>0</v>
      </c>
      <c r="BD21" s="653">
        <f t="shared" si="25"/>
        <v>0</v>
      </c>
      <c r="BE21" s="652">
        <f t="shared" si="20"/>
        <v>0</v>
      </c>
      <c r="BF21" s="654">
        <f t="shared" si="21"/>
        <v>0</v>
      </c>
      <c r="BG21" s="655" t="str">
        <f t="shared" si="26"/>
        <v>Enter ML</v>
      </c>
      <c r="BH21" s="655" t="str">
        <f t="shared" si="22"/>
        <v>Enter area</v>
      </c>
      <c r="BI21" s="655" t="str">
        <f t="shared" si="27"/>
        <v>Enter share cost</v>
      </c>
      <c r="BJ21" s="656">
        <f t="shared" si="23"/>
        <v>0</v>
      </c>
      <c r="BK21" s="212" t="str">
        <f t="shared" si="24"/>
        <v>ok</v>
      </c>
    </row>
    <row r="22" spans="2:63" customFormat="1" ht="15">
      <c r="B22" s="492">
        <f t="shared" si="28"/>
        <v>13</v>
      </c>
      <c r="C22" s="148"/>
      <c r="D22" s="148"/>
      <c r="E22" s="666"/>
      <c r="F22" s="123"/>
      <c r="G22" s="126" t="s">
        <v>1991</v>
      </c>
      <c r="H22" s="126"/>
      <c r="I22" s="667" t="s">
        <v>124</v>
      </c>
      <c r="J22" s="17"/>
      <c r="K22" s="125" t="s">
        <v>175</v>
      </c>
      <c r="L22" s="4"/>
      <c r="M22" s="487">
        <f t="shared" si="0"/>
        <v>0</v>
      </c>
      <c r="N22" s="649" t="str">
        <f t="shared" si="1"/>
        <v>ok</v>
      </c>
      <c r="O22" s="8"/>
      <c r="P22" s="8"/>
      <c r="Q22" s="8"/>
      <c r="R22" s="487">
        <f t="shared" si="2"/>
        <v>0</v>
      </c>
      <c r="S22" s="487">
        <f t="shared" si="3"/>
        <v>0</v>
      </c>
      <c r="T22" s="4"/>
      <c r="U22" s="487">
        <f t="shared" si="4"/>
        <v>0</v>
      </c>
      <c r="V22" s="4"/>
      <c r="W22" s="487">
        <f t="shared" si="5"/>
        <v>0</v>
      </c>
      <c r="X22" s="17"/>
      <c r="Y22" s="487">
        <f t="shared" si="6"/>
        <v>0</v>
      </c>
      <c r="Z22" s="487">
        <f t="shared" si="7"/>
        <v>0</v>
      </c>
      <c r="AA22" s="17"/>
      <c r="AB22" s="650">
        <f t="shared" si="8"/>
        <v>150</v>
      </c>
      <c r="AC22" s="17"/>
      <c r="AD22" s="487">
        <f t="shared" si="9"/>
        <v>0</v>
      </c>
      <c r="AE22" s="487">
        <f t="shared" si="10"/>
        <v>0</v>
      </c>
      <c r="AF22" s="17"/>
      <c r="AG22" s="8"/>
      <c r="AH22" s="132" t="s">
        <v>273</v>
      </c>
      <c r="AI22" s="133"/>
      <c r="AJ22" s="132" t="s">
        <v>92</v>
      </c>
      <c r="AK22" s="133"/>
      <c r="AL22" s="132" t="s">
        <v>2056</v>
      </c>
      <c r="AM22" s="133"/>
      <c r="AN22" s="132" t="s">
        <v>4</v>
      </c>
      <c r="AO22" s="133"/>
      <c r="AP22" s="132" t="s">
        <v>273</v>
      </c>
      <c r="AQ22" s="133"/>
      <c r="AR22" s="132" t="s">
        <v>92</v>
      </c>
      <c r="AS22" s="133"/>
      <c r="AT22" s="651">
        <f t="shared" si="11"/>
        <v>2.3107425720267765</v>
      </c>
      <c r="AU22" s="651">
        <f t="shared" si="12"/>
        <v>0.36651249699628813</v>
      </c>
      <c r="AV22" s="651">
        <f t="shared" si="13"/>
        <v>2.3107425720267765</v>
      </c>
      <c r="AW22" s="633">
        <f>IF(I22=Lists!$C$41,pasture,IF(I22=Lists!$C$42,native,IF(I22=Lists!$C$43,0,"E")))</f>
        <v>1655.5</v>
      </c>
      <c r="AX22" s="652">
        <f t="shared" si="14"/>
        <v>0</v>
      </c>
      <c r="AY22" s="652">
        <f t="shared" si="15"/>
        <v>0</v>
      </c>
      <c r="AZ22" s="652">
        <f t="shared" si="16"/>
        <v>0</v>
      </c>
      <c r="BA22" s="652">
        <f t="shared" si="17"/>
        <v>0</v>
      </c>
      <c r="BB22" s="652">
        <f t="shared" si="18"/>
        <v>0</v>
      </c>
      <c r="BC22" s="652">
        <f t="shared" si="19"/>
        <v>0</v>
      </c>
      <c r="BD22" s="653">
        <f t="shared" si="25"/>
        <v>0</v>
      </c>
      <c r="BE22" s="652">
        <f t="shared" si="20"/>
        <v>0</v>
      </c>
      <c r="BF22" s="654">
        <f t="shared" si="21"/>
        <v>0</v>
      </c>
      <c r="BG22" s="655" t="str">
        <f t="shared" si="26"/>
        <v>Enter ML</v>
      </c>
      <c r="BH22" s="655" t="str">
        <f t="shared" si="22"/>
        <v>Enter area</v>
      </c>
      <c r="BI22" s="655" t="str">
        <f t="shared" si="27"/>
        <v>Enter share cost</v>
      </c>
      <c r="BJ22" s="656">
        <f t="shared" si="23"/>
        <v>0</v>
      </c>
      <c r="BK22" s="212" t="str">
        <f t="shared" si="24"/>
        <v>ok</v>
      </c>
    </row>
    <row r="23" spans="2:63" customFormat="1" ht="15">
      <c r="B23" s="492">
        <f t="shared" si="28"/>
        <v>14</v>
      </c>
      <c r="C23" s="148"/>
      <c r="D23" s="148"/>
      <c r="E23" s="666"/>
      <c r="F23" s="123"/>
      <c r="G23" s="126" t="s">
        <v>1991</v>
      </c>
      <c r="H23" s="126"/>
      <c r="I23" s="667" t="s">
        <v>124</v>
      </c>
      <c r="J23" s="17"/>
      <c r="K23" s="125" t="s">
        <v>175</v>
      </c>
      <c r="L23" s="4"/>
      <c r="M23" s="487">
        <f t="shared" si="0"/>
        <v>0</v>
      </c>
      <c r="N23" s="649" t="str">
        <f t="shared" si="1"/>
        <v>ok</v>
      </c>
      <c r="O23" s="8"/>
      <c r="P23" s="8"/>
      <c r="Q23" s="8"/>
      <c r="R23" s="487">
        <f t="shared" si="2"/>
        <v>0</v>
      </c>
      <c r="S23" s="487">
        <f t="shared" si="3"/>
        <v>0</v>
      </c>
      <c r="T23" s="4"/>
      <c r="U23" s="487">
        <f t="shared" si="4"/>
        <v>0</v>
      </c>
      <c r="V23" s="4"/>
      <c r="W23" s="487">
        <f t="shared" si="5"/>
        <v>0</v>
      </c>
      <c r="X23" s="17"/>
      <c r="Y23" s="487">
        <f t="shared" si="6"/>
        <v>0</v>
      </c>
      <c r="Z23" s="487">
        <f t="shared" si="7"/>
        <v>0</v>
      </c>
      <c r="AA23" s="17"/>
      <c r="AB23" s="650">
        <f t="shared" si="8"/>
        <v>150</v>
      </c>
      <c r="AC23" s="17"/>
      <c r="AD23" s="487">
        <f t="shared" si="9"/>
        <v>0</v>
      </c>
      <c r="AE23" s="487">
        <f t="shared" si="10"/>
        <v>0</v>
      </c>
      <c r="AF23" s="17"/>
      <c r="AG23" s="8"/>
      <c r="AH23" s="132" t="s">
        <v>273</v>
      </c>
      <c r="AI23" s="133"/>
      <c r="AJ23" s="132" t="s">
        <v>92</v>
      </c>
      <c r="AK23" s="133"/>
      <c r="AL23" s="132" t="s">
        <v>2056</v>
      </c>
      <c r="AM23" s="133"/>
      <c r="AN23" s="132" t="s">
        <v>4</v>
      </c>
      <c r="AO23" s="133"/>
      <c r="AP23" s="132" t="s">
        <v>273</v>
      </c>
      <c r="AQ23" s="133"/>
      <c r="AR23" s="132" t="s">
        <v>92</v>
      </c>
      <c r="AS23" s="133"/>
      <c r="AT23" s="651">
        <f t="shared" si="11"/>
        <v>2.3107425720267765</v>
      </c>
      <c r="AU23" s="651">
        <f t="shared" si="12"/>
        <v>0.36651249699628813</v>
      </c>
      <c r="AV23" s="651">
        <f t="shared" si="13"/>
        <v>2.3107425720267765</v>
      </c>
      <c r="AW23" s="633">
        <f>IF(I23=Lists!$C$41,pasture,IF(I23=Lists!$C$42,native,IF(I23=Lists!$C$43,0,"E")))</f>
        <v>1655.5</v>
      </c>
      <c r="AX23" s="652">
        <f t="shared" si="14"/>
        <v>0</v>
      </c>
      <c r="AY23" s="652">
        <f t="shared" si="15"/>
        <v>0</v>
      </c>
      <c r="AZ23" s="652">
        <f t="shared" si="16"/>
        <v>0</v>
      </c>
      <c r="BA23" s="652">
        <f t="shared" si="17"/>
        <v>0</v>
      </c>
      <c r="BB23" s="652">
        <f t="shared" si="18"/>
        <v>0</v>
      </c>
      <c r="BC23" s="652">
        <f t="shared" si="19"/>
        <v>0</v>
      </c>
      <c r="BD23" s="653">
        <f t="shared" si="25"/>
        <v>0</v>
      </c>
      <c r="BE23" s="652">
        <f t="shared" si="20"/>
        <v>0</v>
      </c>
      <c r="BF23" s="654">
        <f t="shared" si="21"/>
        <v>0</v>
      </c>
      <c r="BG23" s="655" t="str">
        <f t="shared" si="26"/>
        <v>Enter ML</v>
      </c>
      <c r="BH23" s="655" t="str">
        <f t="shared" si="22"/>
        <v>Enter area</v>
      </c>
      <c r="BI23" s="655" t="str">
        <f t="shared" si="27"/>
        <v>Enter share cost</v>
      </c>
      <c r="BJ23" s="656">
        <f t="shared" si="23"/>
        <v>0</v>
      </c>
      <c r="BK23" s="212" t="str">
        <f t="shared" si="24"/>
        <v>ok</v>
      </c>
    </row>
    <row r="24" spans="2:63" customFormat="1" ht="15">
      <c r="B24" s="492">
        <f t="shared" si="28"/>
        <v>15</v>
      </c>
      <c r="C24" s="148"/>
      <c r="D24" s="148"/>
      <c r="E24" s="666"/>
      <c r="F24" s="123"/>
      <c r="G24" s="126" t="s">
        <v>1991</v>
      </c>
      <c r="H24" s="126"/>
      <c r="I24" s="667" t="s">
        <v>124</v>
      </c>
      <c r="J24" s="17"/>
      <c r="K24" s="125" t="s">
        <v>175</v>
      </c>
      <c r="L24" s="4"/>
      <c r="M24" s="487">
        <f t="shared" si="0"/>
        <v>0</v>
      </c>
      <c r="N24" s="649" t="str">
        <f t="shared" si="1"/>
        <v>ok</v>
      </c>
      <c r="O24" s="8"/>
      <c r="P24" s="8"/>
      <c r="Q24" s="8"/>
      <c r="R24" s="487">
        <f t="shared" si="2"/>
        <v>0</v>
      </c>
      <c r="S24" s="487">
        <f t="shared" si="3"/>
        <v>0</v>
      </c>
      <c r="T24" s="4"/>
      <c r="U24" s="487">
        <f t="shared" si="4"/>
        <v>0</v>
      </c>
      <c r="V24" s="4"/>
      <c r="W24" s="487">
        <f t="shared" si="5"/>
        <v>0</v>
      </c>
      <c r="X24" s="17"/>
      <c r="Y24" s="487">
        <f t="shared" si="6"/>
        <v>0</v>
      </c>
      <c r="Z24" s="487">
        <f t="shared" si="7"/>
        <v>0</v>
      </c>
      <c r="AA24" s="17"/>
      <c r="AB24" s="650">
        <f t="shared" si="8"/>
        <v>150</v>
      </c>
      <c r="AC24" s="17"/>
      <c r="AD24" s="487">
        <f t="shared" si="9"/>
        <v>0</v>
      </c>
      <c r="AE24" s="487">
        <f t="shared" si="10"/>
        <v>0</v>
      </c>
      <c r="AF24" s="17"/>
      <c r="AG24" s="8"/>
      <c r="AH24" s="132" t="s">
        <v>273</v>
      </c>
      <c r="AI24" s="133"/>
      <c r="AJ24" s="132" t="s">
        <v>92</v>
      </c>
      <c r="AK24" s="133"/>
      <c r="AL24" s="132" t="s">
        <v>2056</v>
      </c>
      <c r="AM24" s="133"/>
      <c r="AN24" s="132" t="s">
        <v>4</v>
      </c>
      <c r="AO24" s="133"/>
      <c r="AP24" s="132" t="s">
        <v>273</v>
      </c>
      <c r="AQ24" s="133"/>
      <c r="AR24" s="132" t="s">
        <v>92</v>
      </c>
      <c r="AS24" s="133"/>
      <c r="AT24" s="651">
        <f t="shared" si="11"/>
        <v>2.3107425720267765</v>
      </c>
      <c r="AU24" s="651">
        <f t="shared" si="12"/>
        <v>0.36651249699628813</v>
      </c>
      <c r="AV24" s="651">
        <f t="shared" si="13"/>
        <v>2.3107425720267765</v>
      </c>
      <c r="AW24" s="633">
        <f>IF(I24=Lists!$C$41,pasture,IF(I24=Lists!$C$42,native,IF(I24=Lists!$C$43,0,"E")))</f>
        <v>1655.5</v>
      </c>
      <c r="AX24" s="652">
        <f t="shared" si="14"/>
        <v>0</v>
      </c>
      <c r="AY24" s="652">
        <f t="shared" si="15"/>
        <v>0</v>
      </c>
      <c r="AZ24" s="652">
        <f t="shared" si="16"/>
        <v>0</v>
      </c>
      <c r="BA24" s="652">
        <f t="shared" si="17"/>
        <v>0</v>
      </c>
      <c r="BB24" s="652">
        <f t="shared" si="18"/>
        <v>0</v>
      </c>
      <c r="BC24" s="652">
        <f t="shared" si="19"/>
        <v>0</v>
      </c>
      <c r="BD24" s="653">
        <f t="shared" si="25"/>
        <v>0</v>
      </c>
      <c r="BE24" s="652">
        <f t="shared" si="20"/>
        <v>0</v>
      </c>
      <c r="BF24" s="654">
        <f t="shared" si="21"/>
        <v>0</v>
      </c>
      <c r="BG24" s="655" t="str">
        <f t="shared" si="26"/>
        <v>Enter ML</v>
      </c>
      <c r="BH24" s="655" t="str">
        <f t="shared" si="22"/>
        <v>Enter area</v>
      </c>
      <c r="BI24" s="655" t="str">
        <f t="shared" si="27"/>
        <v>Enter share cost</v>
      </c>
      <c r="BJ24" s="656">
        <f t="shared" si="23"/>
        <v>0</v>
      </c>
      <c r="BK24" s="212" t="str">
        <f t="shared" si="24"/>
        <v>ok</v>
      </c>
    </row>
    <row r="25" spans="2:63" customFormat="1" ht="15">
      <c r="B25" s="492">
        <f t="shared" si="28"/>
        <v>16</v>
      </c>
      <c r="C25" s="148"/>
      <c r="D25" s="148"/>
      <c r="E25" s="666"/>
      <c r="F25" s="123"/>
      <c r="G25" s="126" t="s">
        <v>1991</v>
      </c>
      <c r="H25" s="126"/>
      <c r="I25" s="667" t="s">
        <v>124</v>
      </c>
      <c r="J25" s="17"/>
      <c r="K25" s="125" t="s">
        <v>175</v>
      </c>
      <c r="L25" s="4"/>
      <c r="M25" s="487">
        <f t="shared" si="0"/>
        <v>0</v>
      </c>
      <c r="N25" s="649" t="str">
        <f t="shared" si="1"/>
        <v>ok</v>
      </c>
      <c r="O25" s="8"/>
      <c r="P25" s="8"/>
      <c r="Q25" s="8"/>
      <c r="R25" s="487">
        <f t="shared" si="2"/>
        <v>0</v>
      </c>
      <c r="S25" s="487">
        <f t="shared" si="3"/>
        <v>0</v>
      </c>
      <c r="T25" s="4"/>
      <c r="U25" s="487">
        <f t="shared" si="4"/>
        <v>0</v>
      </c>
      <c r="V25" s="4"/>
      <c r="W25" s="487">
        <f t="shared" si="5"/>
        <v>0</v>
      </c>
      <c r="X25" s="17"/>
      <c r="Y25" s="487">
        <f t="shared" si="6"/>
        <v>0</v>
      </c>
      <c r="Z25" s="487">
        <f t="shared" si="7"/>
        <v>0</v>
      </c>
      <c r="AA25" s="17"/>
      <c r="AB25" s="650">
        <f t="shared" si="8"/>
        <v>150</v>
      </c>
      <c r="AC25" s="17"/>
      <c r="AD25" s="487">
        <f t="shared" si="9"/>
        <v>0</v>
      </c>
      <c r="AE25" s="487">
        <f t="shared" si="10"/>
        <v>0</v>
      </c>
      <c r="AF25" s="17"/>
      <c r="AG25" s="8"/>
      <c r="AH25" s="132" t="s">
        <v>273</v>
      </c>
      <c r="AI25" s="133"/>
      <c r="AJ25" s="132" t="s">
        <v>92</v>
      </c>
      <c r="AK25" s="133"/>
      <c r="AL25" s="132" t="s">
        <v>2056</v>
      </c>
      <c r="AM25" s="133"/>
      <c r="AN25" s="132" t="s">
        <v>4</v>
      </c>
      <c r="AO25" s="133"/>
      <c r="AP25" s="132" t="s">
        <v>273</v>
      </c>
      <c r="AQ25" s="133"/>
      <c r="AR25" s="132" t="s">
        <v>92</v>
      </c>
      <c r="AS25" s="133"/>
      <c r="AT25" s="651">
        <f t="shared" si="11"/>
        <v>2.3107425720267765</v>
      </c>
      <c r="AU25" s="651">
        <f t="shared" si="12"/>
        <v>0.36651249699628813</v>
      </c>
      <c r="AV25" s="651">
        <f t="shared" si="13"/>
        <v>2.3107425720267765</v>
      </c>
      <c r="AW25" s="633">
        <f>IF(I25=Lists!$C$41,pasture,IF(I25=Lists!$C$42,native,IF(I25=Lists!$C$43,0,"E")))</f>
        <v>1655.5</v>
      </c>
      <c r="AX25" s="652">
        <f t="shared" si="14"/>
        <v>0</v>
      </c>
      <c r="AY25" s="652">
        <f t="shared" si="15"/>
        <v>0</v>
      </c>
      <c r="AZ25" s="652">
        <f t="shared" si="16"/>
        <v>0</v>
      </c>
      <c r="BA25" s="652">
        <f t="shared" si="17"/>
        <v>0</v>
      </c>
      <c r="BB25" s="652">
        <f t="shared" si="18"/>
        <v>0</v>
      </c>
      <c r="BC25" s="652">
        <f t="shared" si="19"/>
        <v>0</v>
      </c>
      <c r="BD25" s="653">
        <f t="shared" si="25"/>
        <v>0</v>
      </c>
      <c r="BE25" s="652">
        <f t="shared" si="20"/>
        <v>0</v>
      </c>
      <c r="BF25" s="654">
        <f t="shared" si="21"/>
        <v>0</v>
      </c>
      <c r="BG25" s="655" t="str">
        <f t="shared" si="26"/>
        <v>Enter ML</v>
      </c>
      <c r="BH25" s="655" t="str">
        <f t="shared" si="22"/>
        <v>Enter area</v>
      </c>
      <c r="BI25" s="655" t="str">
        <f t="shared" si="27"/>
        <v>Enter share cost</v>
      </c>
      <c r="BJ25" s="656">
        <f t="shared" si="23"/>
        <v>0</v>
      </c>
      <c r="BK25" s="212" t="str">
        <f t="shared" si="24"/>
        <v>ok</v>
      </c>
    </row>
    <row r="26" spans="2:63" customFormat="1" ht="15">
      <c r="B26" s="492">
        <f t="shared" si="28"/>
        <v>17</v>
      </c>
      <c r="C26" s="148"/>
      <c r="D26" s="148"/>
      <c r="E26" s="666"/>
      <c r="F26" s="123"/>
      <c r="G26" s="126" t="s">
        <v>1991</v>
      </c>
      <c r="H26" s="126"/>
      <c r="I26" s="667" t="s">
        <v>124</v>
      </c>
      <c r="J26" s="17"/>
      <c r="K26" s="125" t="s">
        <v>175</v>
      </c>
      <c r="L26" s="4"/>
      <c r="M26" s="487">
        <f t="shared" si="0"/>
        <v>0</v>
      </c>
      <c r="N26" s="649" t="str">
        <f t="shared" si="1"/>
        <v>ok</v>
      </c>
      <c r="O26" s="8"/>
      <c r="P26" s="8"/>
      <c r="Q26" s="8"/>
      <c r="R26" s="487">
        <f t="shared" si="2"/>
        <v>0</v>
      </c>
      <c r="S26" s="487">
        <f t="shared" si="3"/>
        <v>0</v>
      </c>
      <c r="T26" s="4"/>
      <c r="U26" s="487">
        <f t="shared" si="4"/>
        <v>0</v>
      </c>
      <c r="V26" s="4"/>
      <c r="W26" s="487">
        <f t="shared" si="5"/>
        <v>0</v>
      </c>
      <c r="X26" s="17"/>
      <c r="Y26" s="487">
        <f t="shared" si="6"/>
        <v>0</v>
      </c>
      <c r="Z26" s="487">
        <f t="shared" si="7"/>
        <v>0</v>
      </c>
      <c r="AA26" s="17"/>
      <c r="AB26" s="650">
        <f t="shared" si="8"/>
        <v>150</v>
      </c>
      <c r="AC26" s="17"/>
      <c r="AD26" s="487">
        <f t="shared" si="9"/>
        <v>0</v>
      </c>
      <c r="AE26" s="487">
        <f t="shared" si="10"/>
        <v>0</v>
      </c>
      <c r="AF26" s="17"/>
      <c r="AG26" s="8"/>
      <c r="AH26" s="132" t="s">
        <v>273</v>
      </c>
      <c r="AI26" s="133"/>
      <c r="AJ26" s="132" t="s">
        <v>92</v>
      </c>
      <c r="AK26" s="133"/>
      <c r="AL26" s="132" t="s">
        <v>2056</v>
      </c>
      <c r="AM26" s="133"/>
      <c r="AN26" s="132" t="s">
        <v>4</v>
      </c>
      <c r="AO26" s="133"/>
      <c r="AP26" s="132" t="s">
        <v>273</v>
      </c>
      <c r="AQ26" s="133"/>
      <c r="AR26" s="132" t="s">
        <v>92</v>
      </c>
      <c r="AS26" s="133"/>
      <c r="AT26" s="651">
        <f t="shared" si="11"/>
        <v>2.3107425720267765</v>
      </c>
      <c r="AU26" s="651">
        <f t="shared" si="12"/>
        <v>0.36651249699628813</v>
      </c>
      <c r="AV26" s="651">
        <f t="shared" si="13"/>
        <v>2.3107425720267765</v>
      </c>
      <c r="AW26" s="633">
        <f>IF(I26=Lists!$C$41,pasture,IF(I26=Lists!$C$42,native,IF(I26=Lists!$C$43,0,"E")))</f>
        <v>1655.5</v>
      </c>
      <c r="AX26" s="652">
        <f t="shared" si="14"/>
        <v>0</v>
      </c>
      <c r="AY26" s="652">
        <f t="shared" si="15"/>
        <v>0</v>
      </c>
      <c r="AZ26" s="652">
        <f t="shared" si="16"/>
        <v>0</v>
      </c>
      <c r="BA26" s="652">
        <f t="shared" si="17"/>
        <v>0</v>
      </c>
      <c r="BB26" s="652">
        <f t="shared" si="18"/>
        <v>0</v>
      </c>
      <c r="BC26" s="652">
        <f t="shared" si="19"/>
        <v>0</v>
      </c>
      <c r="BD26" s="653">
        <f t="shared" si="25"/>
        <v>0</v>
      </c>
      <c r="BE26" s="652">
        <f t="shared" si="20"/>
        <v>0</v>
      </c>
      <c r="BF26" s="654">
        <f t="shared" si="21"/>
        <v>0</v>
      </c>
      <c r="BG26" s="655" t="str">
        <f t="shared" si="26"/>
        <v>Enter ML</v>
      </c>
      <c r="BH26" s="655" t="str">
        <f t="shared" si="22"/>
        <v>Enter area</v>
      </c>
      <c r="BI26" s="655" t="str">
        <f t="shared" si="27"/>
        <v>Enter share cost</v>
      </c>
      <c r="BJ26" s="656">
        <f t="shared" si="23"/>
        <v>0</v>
      </c>
      <c r="BK26" s="212" t="str">
        <f t="shared" si="24"/>
        <v>ok</v>
      </c>
    </row>
    <row r="27" spans="2:63" customFormat="1" ht="15">
      <c r="B27" s="492">
        <f t="shared" si="28"/>
        <v>18</v>
      </c>
      <c r="C27" s="148"/>
      <c r="D27" s="148"/>
      <c r="E27" s="666"/>
      <c r="F27" s="123"/>
      <c r="G27" s="126" t="s">
        <v>1991</v>
      </c>
      <c r="H27" s="126"/>
      <c r="I27" s="667" t="s">
        <v>124</v>
      </c>
      <c r="J27" s="17"/>
      <c r="K27" s="125" t="s">
        <v>175</v>
      </c>
      <c r="L27" s="4"/>
      <c r="M27" s="487">
        <f t="shared" si="0"/>
        <v>0</v>
      </c>
      <c r="N27" s="649" t="str">
        <f t="shared" si="1"/>
        <v>ok</v>
      </c>
      <c r="O27" s="8"/>
      <c r="P27" s="8"/>
      <c r="Q27" s="8"/>
      <c r="R27" s="487">
        <f t="shared" si="2"/>
        <v>0</v>
      </c>
      <c r="S27" s="487">
        <f t="shared" si="3"/>
        <v>0</v>
      </c>
      <c r="T27" s="4"/>
      <c r="U27" s="487">
        <f t="shared" si="4"/>
        <v>0</v>
      </c>
      <c r="V27" s="4"/>
      <c r="W27" s="487">
        <f t="shared" si="5"/>
        <v>0</v>
      </c>
      <c r="X27" s="17"/>
      <c r="Y27" s="487">
        <f t="shared" si="6"/>
        <v>0</v>
      </c>
      <c r="Z27" s="487">
        <f t="shared" si="7"/>
        <v>0</v>
      </c>
      <c r="AA27" s="17"/>
      <c r="AB27" s="650">
        <f t="shared" si="8"/>
        <v>150</v>
      </c>
      <c r="AC27" s="17"/>
      <c r="AD27" s="487">
        <f t="shared" si="9"/>
        <v>0</v>
      </c>
      <c r="AE27" s="487">
        <f t="shared" si="10"/>
        <v>0</v>
      </c>
      <c r="AF27" s="17"/>
      <c r="AG27" s="8"/>
      <c r="AH27" s="132" t="s">
        <v>273</v>
      </c>
      <c r="AI27" s="133"/>
      <c r="AJ27" s="132" t="s">
        <v>92</v>
      </c>
      <c r="AK27" s="133"/>
      <c r="AL27" s="132" t="s">
        <v>2056</v>
      </c>
      <c r="AM27" s="133"/>
      <c r="AN27" s="132" t="s">
        <v>4</v>
      </c>
      <c r="AO27" s="133"/>
      <c r="AP27" s="132" t="s">
        <v>273</v>
      </c>
      <c r="AQ27" s="133"/>
      <c r="AR27" s="132" t="s">
        <v>92</v>
      </c>
      <c r="AS27" s="133"/>
      <c r="AT27" s="651">
        <f t="shared" si="11"/>
        <v>2.3107425720267765</v>
      </c>
      <c r="AU27" s="651">
        <f t="shared" si="12"/>
        <v>0.36651249699628813</v>
      </c>
      <c r="AV27" s="651">
        <f t="shared" si="13"/>
        <v>2.3107425720267765</v>
      </c>
      <c r="AW27" s="633">
        <f>IF(I27=Lists!$C$41,pasture,IF(I27=Lists!$C$42,native,IF(I27=Lists!$C$43,0,"E")))</f>
        <v>1655.5</v>
      </c>
      <c r="AX27" s="652">
        <f t="shared" si="14"/>
        <v>0</v>
      </c>
      <c r="AY27" s="652">
        <f t="shared" si="15"/>
        <v>0</v>
      </c>
      <c r="AZ27" s="652">
        <f t="shared" si="16"/>
        <v>0</v>
      </c>
      <c r="BA27" s="652">
        <f t="shared" si="17"/>
        <v>0</v>
      </c>
      <c r="BB27" s="652">
        <f t="shared" si="18"/>
        <v>0</v>
      </c>
      <c r="BC27" s="652">
        <f t="shared" si="19"/>
        <v>0</v>
      </c>
      <c r="BD27" s="653">
        <f t="shared" si="25"/>
        <v>0</v>
      </c>
      <c r="BE27" s="652">
        <f t="shared" si="20"/>
        <v>0</v>
      </c>
      <c r="BF27" s="654">
        <f t="shared" si="21"/>
        <v>0</v>
      </c>
      <c r="BG27" s="655" t="str">
        <f t="shared" si="26"/>
        <v>Enter ML</v>
      </c>
      <c r="BH27" s="655" t="str">
        <f t="shared" si="22"/>
        <v>Enter area</v>
      </c>
      <c r="BI27" s="655" t="str">
        <f t="shared" si="27"/>
        <v>Enter share cost</v>
      </c>
      <c r="BJ27" s="656">
        <f t="shared" si="23"/>
        <v>0</v>
      </c>
      <c r="BK27" s="212" t="str">
        <f t="shared" si="24"/>
        <v>ok</v>
      </c>
    </row>
    <row r="28" spans="2:63" customFormat="1" ht="15">
      <c r="B28" s="492">
        <f t="shared" si="28"/>
        <v>19</v>
      </c>
      <c r="C28" s="148"/>
      <c r="D28" s="148"/>
      <c r="E28" s="666"/>
      <c r="F28" s="123"/>
      <c r="G28" s="126" t="s">
        <v>1991</v>
      </c>
      <c r="H28" s="126"/>
      <c r="I28" s="667" t="s">
        <v>124</v>
      </c>
      <c r="J28" s="17"/>
      <c r="K28" s="125" t="s">
        <v>175</v>
      </c>
      <c r="L28" s="4"/>
      <c r="M28" s="487">
        <f t="shared" si="0"/>
        <v>0</v>
      </c>
      <c r="N28" s="649" t="str">
        <f t="shared" si="1"/>
        <v>ok</v>
      </c>
      <c r="O28" s="8"/>
      <c r="P28" s="8"/>
      <c r="Q28" s="8"/>
      <c r="R28" s="487">
        <f t="shared" si="2"/>
        <v>0</v>
      </c>
      <c r="S28" s="487">
        <f t="shared" si="3"/>
        <v>0</v>
      </c>
      <c r="T28" s="4"/>
      <c r="U28" s="487">
        <f t="shared" si="4"/>
        <v>0</v>
      </c>
      <c r="V28" s="4"/>
      <c r="W28" s="487">
        <f t="shared" si="5"/>
        <v>0</v>
      </c>
      <c r="X28" s="17"/>
      <c r="Y28" s="487">
        <f t="shared" si="6"/>
        <v>0</v>
      </c>
      <c r="Z28" s="487">
        <f t="shared" si="7"/>
        <v>0</v>
      </c>
      <c r="AA28" s="17"/>
      <c r="AB28" s="650">
        <f t="shared" si="8"/>
        <v>150</v>
      </c>
      <c r="AC28" s="17"/>
      <c r="AD28" s="487">
        <f t="shared" si="9"/>
        <v>0</v>
      </c>
      <c r="AE28" s="487">
        <f t="shared" si="10"/>
        <v>0</v>
      </c>
      <c r="AF28" s="17"/>
      <c r="AG28" s="8"/>
      <c r="AH28" s="132" t="s">
        <v>273</v>
      </c>
      <c r="AI28" s="133"/>
      <c r="AJ28" s="132" t="s">
        <v>92</v>
      </c>
      <c r="AK28" s="133"/>
      <c r="AL28" s="132" t="s">
        <v>2056</v>
      </c>
      <c r="AM28" s="133"/>
      <c r="AN28" s="132" t="s">
        <v>4</v>
      </c>
      <c r="AO28" s="133"/>
      <c r="AP28" s="132" t="s">
        <v>273</v>
      </c>
      <c r="AQ28" s="133"/>
      <c r="AR28" s="132" t="s">
        <v>92</v>
      </c>
      <c r="AS28" s="133"/>
      <c r="AT28" s="651">
        <f t="shared" si="11"/>
        <v>2.3107425720267765</v>
      </c>
      <c r="AU28" s="651">
        <f t="shared" si="12"/>
        <v>0.36651249699628813</v>
      </c>
      <c r="AV28" s="651">
        <f t="shared" si="13"/>
        <v>2.3107425720267765</v>
      </c>
      <c r="AW28" s="633">
        <f>IF(I28=Lists!$C$41,pasture,IF(I28=Lists!$C$42,native,IF(I28=Lists!$C$43,0,"E")))</f>
        <v>1655.5</v>
      </c>
      <c r="AX28" s="652">
        <f t="shared" si="14"/>
        <v>0</v>
      </c>
      <c r="AY28" s="652">
        <f t="shared" si="15"/>
        <v>0</v>
      </c>
      <c r="AZ28" s="652">
        <f t="shared" si="16"/>
        <v>0</v>
      </c>
      <c r="BA28" s="652">
        <f t="shared" si="17"/>
        <v>0</v>
      </c>
      <c r="BB28" s="652">
        <f t="shared" si="18"/>
        <v>0</v>
      </c>
      <c r="BC28" s="652">
        <f t="shared" si="19"/>
        <v>0</v>
      </c>
      <c r="BD28" s="653">
        <f t="shared" si="25"/>
        <v>0</v>
      </c>
      <c r="BE28" s="652">
        <f t="shared" si="20"/>
        <v>0</v>
      </c>
      <c r="BF28" s="654">
        <f t="shared" si="21"/>
        <v>0</v>
      </c>
      <c r="BG28" s="655" t="str">
        <f t="shared" si="26"/>
        <v>Enter ML</v>
      </c>
      <c r="BH28" s="655" t="str">
        <f t="shared" si="22"/>
        <v>Enter area</v>
      </c>
      <c r="BI28" s="655" t="str">
        <f t="shared" si="27"/>
        <v>Enter share cost</v>
      </c>
      <c r="BJ28" s="656">
        <f t="shared" si="23"/>
        <v>0</v>
      </c>
      <c r="BK28" s="212" t="str">
        <f t="shared" si="24"/>
        <v>ok</v>
      </c>
    </row>
    <row r="29" spans="2:63" customFormat="1" ht="15">
      <c r="B29" s="492">
        <f t="shared" si="28"/>
        <v>20</v>
      </c>
      <c r="C29" s="148"/>
      <c r="D29" s="148"/>
      <c r="E29" s="666"/>
      <c r="F29" s="123"/>
      <c r="G29" s="126" t="s">
        <v>1991</v>
      </c>
      <c r="H29" s="126"/>
      <c r="I29" s="667" t="s">
        <v>124</v>
      </c>
      <c r="J29" s="17"/>
      <c r="K29" s="125" t="s">
        <v>175</v>
      </c>
      <c r="L29" s="4"/>
      <c r="M29" s="487">
        <f t="shared" si="0"/>
        <v>0</v>
      </c>
      <c r="N29" s="649" t="str">
        <f t="shared" si="1"/>
        <v>ok</v>
      </c>
      <c r="O29" s="8"/>
      <c r="P29" s="8"/>
      <c r="Q29" s="8"/>
      <c r="R29" s="487">
        <f t="shared" si="2"/>
        <v>0</v>
      </c>
      <c r="S29" s="487">
        <f t="shared" si="3"/>
        <v>0</v>
      </c>
      <c r="T29" s="4"/>
      <c r="U29" s="487">
        <f t="shared" si="4"/>
        <v>0</v>
      </c>
      <c r="V29" s="4"/>
      <c r="W29" s="487">
        <f t="shared" si="5"/>
        <v>0</v>
      </c>
      <c r="X29" s="17"/>
      <c r="Y29" s="487">
        <f t="shared" si="6"/>
        <v>0</v>
      </c>
      <c r="Z29" s="487">
        <f t="shared" si="7"/>
        <v>0</v>
      </c>
      <c r="AA29" s="17"/>
      <c r="AB29" s="650">
        <f t="shared" si="8"/>
        <v>150</v>
      </c>
      <c r="AC29" s="17"/>
      <c r="AD29" s="487">
        <f t="shared" si="9"/>
        <v>0</v>
      </c>
      <c r="AE29" s="487">
        <f t="shared" si="10"/>
        <v>0</v>
      </c>
      <c r="AF29" s="17"/>
      <c r="AG29" s="8"/>
      <c r="AH29" s="132" t="s">
        <v>273</v>
      </c>
      <c r="AI29" s="133"/>
      <c r="AJ29" s="132" t="s">
        <v>92</v>
      </c>
      <c r="AK29" s="133"/>
      <c r="AL29" s="132" t="s">
        <v>2056</v>
      </c>
      <c r="AM29" s="133"/>
      <c r="AN29" s="132" t="s">
        <v>4</v>
      </c>
      <c r="AO29" s="133"/>
      <c r="AP29" s="132" t="s">
        <v>273</v>
      </c>
      <c r="AQ29" s="133"/>
      <c r="AR29" s="132" t="s">
        <v>92</v>
      </c>
      <c r="AS29" s="133"/>
      <c r="AT29" s="651">
        <f t="shared" si="11"/>
        <v>2.3107425720267765</v>
      </c>
      <c r="AU29" s="651">
        <f t="shared" si="12"/>
        <v>0.36651249699628813</v>
      </c>
      <c r="AV29" s="651">
        <f t="shared" si="13"/>
        <v>2.3107425720267765</v>
      </c>
      <c r="AW29" s="633">
        <f>IF(I29=Lists!$C$41,pasture,IF(I29=Lists!$C$42,native,IF(I29=Lists!$C$43,0,"E")))</f>
        <v>1655.5</v>
      </c>
      <c r="AX29" s="652">
        <f t="shared" si="14"/>
        <v>0</v>
      </c>
      <c r="AY29" s="652">
        <f t="shared" si="15"/>
        <v>0</v>
      </c>
      <c r="AZ29" s="652">
        <f t="shared" si="16"/>
        <v>0</v>
      </c>
      <c r="BA29" s="652">
        <f t="shared" si="17"/>
        <v>0</v>
      </c>
      <c r="BB29" s="652">
        <f t="shared" si="18"/>
        <v>0</v>
      </c>
      <c r="BC29" s="652">
        <f t="shared" si="19"/>
        <v>0</v>
      </c>
      <c r="BD29" s="653">
        <f t="shared" si="25"/>
        <v>0</v>
      </c>
      <c r="BE29" s="652">
        <f t="shared" si="20"/>
        <v>0</v>
      </c>
      <c r="BF29" s="654">
        <f t="shared" si="21"/>
        <v>0</v>
      </c>
      <c r="BG29" s="655" t="str">
        <f t="shared" si="26"/>
        <v>Enter ML</v>
      </c>
      <c r="BH29" s="655" t="str">
        <f t="shared" si="22"/>
        <v>Enter area</v>
      </c>
      <c r="BI29" s="655" t="str">
        <f t="shared" si="27"/>
        <v>Enter share cost</v>
      </c>
      <c r="BJ29" s="656">
        <f t="shared" si="23"/>
        <v>0</v>
      </c>
      <c r="BK29" s="212" t="str">
        <f t="shared" si="24"/>
        <v>ok</v>
      </c>
    </row>
    <row r="30" spans="2:63" customFormat="1" ht="15">
      <c r="B30" s="492">
        <f t="shared" si="28"/>
        <v>21</v>
      </c>
      <c r="C30" s="148"/>
      <c r="D30" s="148"/>
      <c r="E30" s="666"/>
      <c r="F30" s="123"/>
      <c r="G30" s="126" t="s">
        <v>1991</v>
      </c>
      <c r="H30" s="126"/>
      <c r="I30" s="667" t="s">
        <v>124</v>
      </c>
      <c r="J30" s="17"/>
      <c r="K30" s="125" t="s">
        <v>175</v>
      </c>
      <c r="L30" s="4"/>
      <c r="M30" s="487">
        <f t="shared" si="0"/>
        <v>0</v>
      </c>
      <c r="N30" s="649" t="str">
        <f t="shared" si="1"/>
        <v>ok</v>
      </c>
      <c r="O30" s="8"/>
      <c r="P30" s="8"/>
      <c r="Q30" s="8"/>
      <c r="R30" s="487">
        <f t="shared" si="2"/>
        <v>0</v>
      </c>
      <c r="S30" s="487">
        <f t="shared" si="3"/>
        <v>0</v>
      </c>
      <c r="T30" s="4"/>
      <c r="U30" s="487">
        <f t="shared" si="4"/>
        <v>0</v>
      </c>
      <c r="V30" s="4"/>
      <c r="W30" s="487">
        <f t="shared" si="5"/>
        <v>0</v>
      </c>
      <c r="X30" s="17"/>
      <c r="Y30" s="487">
        <f t="shared" si="6"/>
        <v>0</v>
      </c>
      <c r="Z30" s="487">
        <f t="shared" si="7"/>
        <v>0</v>
      </c>
      <c r="AA30" s="17"/>
      <c r="AB30" s="650">
        <f t="shared" si="8"/>
        <v>150</v>
      </c>
      <c r="AC30" s="17"/>
      <c r="AD30" s="487">
        <f t="shared" si="9"/>
        <v>0</v>
      </c>
      <c r="AE30" s="487">
        <f t="shared" si="10"/>
        <v>0</v>
      </c>
      <c r="AF30" s="17"/>
      <c r="AG30" s="8"/>
      <c r="AH30" s="132" t="s">
        <v>273</v>
      </c>
      <c r="AI30" s="133"/>
      <c r="AJ30" s="132" t="s">
        <v>92</v>
      </c>
      <c r="AK30" s="133"/>
      <c r="AL30" s="132" t="s">
        <v>2056</v>
      </c>
      <c r="AM30" s="133"/>
      <c r="AN30" s="132" t="s">
        <v>4</v>
      </c>
      <c r="AO30" s="133"/>
      <c r="AP30" s="132" t="s">
        <v>273</v>
      </c>
      <c r="AQ30" s="133"/>
      <c r="AR30" s="132" t="s">
        <v>92</v>
      </c>
      <c r="AS30" s="133"/>
      <c r="AT30" s="651">
        <f t="shared" si="11"/>
        <v>2.3107425720267765</v>
      </c>
      <c r="AU30" s="651">
        <f t="shared" si="12"/>
        <v>0.36651249699628813</v>
      </c>
      <c r="AV30" s="651">
        <f t="shared" si="13"/>
        <v>2.3107425720267765</v>
      </c>
      <c r="AW30" s="633">
        <f>IF(I30=Lists!$C$41,pasture,IF(I30=Lists!$C$42,native,IF(I30=Lists!$C$43,0,"E")))</f>
        <v>1655.5</v>
      </c>
      <c r="AX30" s="652">
        <f t="shared" si="14"/>
        <v>0</v>
      </c>
      <c r="AY30" s="652">
        <f t="shared" si="15"/>
        <v>0</v>
      </c>
      <c r="AZ30" s="652">
        <f t="shared" si="16"/>
        <v>0</v>
      </c>
      <c r="BA30" s="652">
        <f t="shared" si="17"/>
        <v>0</v>
      </c>
      <c r="BB30" s="652">
        <f t="shared" si="18"/>
        <v>0</v>
      </c>
      <c r="BC30" s="652">
        <f t="shared" si="19"/>
        <v>0</v>
      </c>
      <c r="BD30" s="653">
        <f t="shared" si="25"/>
        <v>0</v>
      </c>
      <c r="BE30" s="652">
        <f t="shared" si="20"/>
        <v>0</v>
      </c>
      <c r="BF30" s="654">
        <f t="shared" si="21"/>
        <v>0</v>
      </c>
      <c r="BG30" s="655" t="str">
        <f t="shared" si="26"/>
        <v>Enter ML</v>
      </c>
      <c r="BH30" s="655" t="str">
        <f t="shared" si="22"/>
        <v>Enter area</v>
      </c>
      <c r="BI30" s="655" t="str">
        <f t="shared" si="27"/>
        <v>Enter share cost</v>
      </c>
      <c r="BJ30" s="656">
        <f t="shared" si="23"/>
        <v>0</v>
      </c>
      <c r="BK30" s="212" t="str">
        <f t="shared" si="24"/>
        <v>ok</v>
      </c>
    </row>
    <row r="31" spans="2:63" customFormat="1" ht="15">
      <c r="B31" s="492">
        <f t="shared" si="28"/>
        <v>22</v>
      </c>
      <c r="C31" s="148"/>
      <c r="D31" s="148"/>
      <c r="E31" s="666"/>
      <c r="F31" s="123"/>
      <c r="G31" s="126" t="s">
        <v>1991</v>
      </c>
      <c r="H31" s="126"/>
      <c r="I31" s="667" t="s">
        <v>124</v>
      </c>
      <c r="J31" s="17"/>
      <c r="K31" s="125" t="s">
        <v>175</v>
      </c>
      <c r="L31" s="4"/>
      <c r="M31" s="487">
        <f t="shared" si="0"/>
        <v>0</v>
      </c>
      <c r="N31" s="649" t="str">
        <f t="shared" si="1"/>
        <v>ok</v>
      </c>
      <c r="O31" s="8"/>
      <c r="P31" s="8"/>
      <c r="Q31" s="8"/>
      <c r="R31" s="487">
        <f t="shared" si="2"/>
        <v>0</v>
      </c>
      <c r="S31" s="487">
        <f t="shared" si="3"/>
        <v>0</v>
      </c>
      <c r="T31" s="4"/>
      <c r="U31" s="487">
        <f t="shared" si="4"/>
        <v>0</v>
      </c>
      <c r="V31" s="4"/>
      <c r="W31" s="487">
        <f t="shared" si="5"/>
        <v>0</v>
      </c>
      <c r="X31" s="17"/>
      <c r="Y31" s="487">
        <f t="shared" si="6"/>
        <v>0</v>
      </c>
      <c r="Z31" s="487">
        <f t="shared" si="7"/>
        <v>0</v>
      </c>
      <c r="AA31" s="17"/>
      <c r="AB31" s="650">
        <f t="shared" si="8"/>
        <v>150</v>
      </c>
      <c r="AC31" s="17"/>
      <c r="AD31" s="487">
        <f t="shared" si="9"/>
        <v>0</v>
      </c>
      <c r="AE31" s="487">
        <f t="shared" si="10"/>
        <v>0</v>
      </c>
      <c r="AF31" s="17"/>
      <c r="AG31" s="8"/>
      <c r="AH31" s="132" t="s">
        <v>273</v>
      </c>
      <c r="AI31" s="133"/>
      <c r="AJ31" s="132" t="s">
        <v>92</v>
      </c>
      <c r="AK31" s="133"/>
      <c r="AL31" s="132" t="s">
        <v>2056</v>
      </c>
      <c r="AM31" s="133"/>
      <c r="AN31" s="132" t="s">
        <v>4</v>
      </c>
      <c r="AO31" s="133"/>
      <c r="AP31" s="132" t="s">
        <v>273</v>
      </c>
      <c r="AQ31" s="133"/>
      <c r="AR31" s="132" t="s">
        <v>92</v>
      </c>
      <c r="AS31" s="133"/>
      <c r="AT31" s="651">
        <f t="shared" si="11"/>
        <v>2.3107425720267765</v>
      </c>
      <c r="AU31" s="651">
        <f t="shared" si="12"/>
        <v>0.36651249699628813</v>
      </c>
      <c r="AV31" s="651">
        <f t="shared" si="13"/>
        <v>2.3107425720267765</v>
      </c>
      <c r="AW31" s="633">
        <f>IF(I31=Lists!$C$41,pasture,IF(I31=Lists!$C$42,native,IF(I31=Lists!$C$43,0,"E")))</f>
        <v>1655.5</v>
      </c>
      <c r="AX31" s="652">
        <f t="shared" si="14"/>
        <v>0</v>
      </c>
      <c r="AY31" s="652">
        <f t="shared" si="15"/>
        <v>0</v>
      </c>
      <c r="AZ31" s="652">
        <f t="shared" si="16"/>
        <v>0</v>
      </c>
      <c r="BA31" s="652">
        <f t="shared" si="17"/>
        <v>0</v>
      </c>
      <c r="BB31" s="652">
        <f t="shared" si="18"/>
        <v>0</v>
      </c>
      <c r="BC31" s="652">
        <f t="shared" si="19"/>
        <v>0</v>
      </c>
      <c r="BD31" s="653">
        <f t="shared" si="25"/>
        <v>0</v>
      </c>
      <c r="BE31" s="652">
        <f t="shared" si="20"/>
        <v>0</v>
      </c>
      <c r="BF31" s="654">
        <f t="shared" si="21"/>
        <v>0</v>
      </c>
      <c r="BG31" s="655" t="str">
        <f t="shared" si="26"/>
        <v>Enter ML</v>
      </c>
      <c r="BH31" s="655" t="str">
        <f t="shared" si="22"/>
        <v>Enter area</v>
      </c>
      <c r="BI31" s="655" t="str">
        <f t="shared" si="27"/>
        <v>Enter share cost</v>
      </c>
      <c r="BJ31" s="656">
        <f t="shared" si="23"/>
        <v>0</v>
      </c>
      <c r="BK31" s="212" t="str">
        <f t="shared" si="24"/>
        <v>ok</v>
      </c>
    </row>
    <row r="32" spans="2:63" customFormat="1" ht="15">
      <c r="B32" s="492">
        <f t="shared" si="28"/>
        <v>23</v>
      </c>
      <c r="C32" s="148"/>
      <c r="D32" s="148"/>
      <c r="E32" s="666"/>
      <c r="F32" s="123"/>
      <c r="G32" s="126" t="s">
        <v>1991</v>
      </c>
      <c r="H32" s="126"/>
      <c r="I32" s="667" t="s">
        <v>124</v>
      </c>
      <c r="J32" s="17"/>
      <c r="K32" s="125" t="s">
        <v>175</v>
      </c>
      <c r="L32" s="4"/>
      <c r="M32" s="487">
        <f t="shared" si="0"/>
        <v>0</v>
      </c>
      <c r="N32" s="649" t="str">
        <f t="shared" si="1"/>
        <v>ok</v>
      </c>
      <c r="O32" s="8"/>
      <c r="P32" s="8"/>
      <c r="Q32" s="8"/>
      <c r="R32" s="487">
        <f t="shared" si="2"/>
        <v>0</v>
      </c>
      <c r="S32" s="487">
        <f t="shared" si="3"/>
        <v>0</v>
      </c>
      <c r="T32" s="4"/>
      <c r="U32" s="487">
        <f t="shared" si="4"/>
        <v>0</v>
      </c>
      <c r="V32" s="4"/>
      <c r="W32" s="487">
        <f t="shared" si="5"/>
        <v>0</v>
      </c>
      <c r="X32" s="17"/>
      <c r="Y32" s="487">
        <f t="shared" si="6"/>
        <v>0</v>
      </c>
      <c r="Z32" s="487">
        <f t="shared" si="7"/>
        <v>0</v>
      </c>
      <c r="AA32" s="17"/>
      <c r="AB32" s="650">
        <f t="shared" si="8"/>
        <v>150</v>
      </c>
      <c r="AC32" s="17"/>
      <c r="AD32" s="487">
        <f t="shared" si="9"/>
        <v>0</v>
      </c>
      <c r="AE32" s="487">
        <f t="shared" si="10"/>
        <v>0</v>
      </c>
      <c r="AF32" s="17"/>
      <c r="AG32" s="8"/>
      <c r="AH32" s="132" t="s">
        <v>273</v>
      </c>
      <c r="AI32" s="133"/>
      <c r="AJ32" s="132" t="s">
        <v>92</v>
      </c>
      <c r="AK32" s="133"/>
      <c r="AL32" s="132" t="s">
        <v>2056</v>
      </c>
      <c r="AM32" s="133"/>
      <c r="AN32" s="132" t="s">
        <v>4</v>
      </c>
      <c r="AO32" s="133"/>
      <c r="AP32" s="132" t="s">
        <v>273</v>
      </c>
      <c r="AQ32" s="133"/>
      <c r="AR32" s="132" t="s">
        <v>92</v>
      </c>
      <c r="AS32" s="133"/>
      <c r="AT32" s="651">
        <f t="shared" si="11"/>
        <v>2.3107425720267765</v>
      </c>
      <c r="AU32" s="651">
        <f t="shared" si="12"/>
        <v>0.36651249699628813</v>
      </c>
      <c r="AV32" s="651">
        <f t="shared" si="13"/>
        <v>2.3107425720267765</v>
      </c>
      <c r="AW32" s="633">
        <f>IF(I32=Lists!$C$41,pasture,IF(I32=Lists!$C$42,native,IF(I32=Lists!$C$43,0,"E")))</f>
        <v>1655.5</v>
      </c>
      <c r="AX32" s="652">
        <f t="shared" si="14"/>
        <v>0</v>
      </c>
      <c r="AY32" s="652">
        <f t="shared" si="15"/>
        <v>0</v>
      </c>
      <c r="AZ32" s="652">
        <f t="shared" si="16"/>
        <v>0</v>
      </c>
      <c r="BA32" s="652">
        <f t="shared" si="17"/>
        <v>0</v>
      </c>
      <c r="BB32" s="652">
        <f t="shared" si="18"/>
        <v>0</v>
      </c>
      <c r="BC32" s="652">
        <f t="shared" si="19"/>
        <v>0</v>
      </c>
      <c r="BD32" s="653">
        <f t="shared" si="25"/>
        <v>0</v>
      </c>
      <c r="BE32" s="652">
        <f t="shared" si="20"/>
        <v>0</v>
      </c>
      <c r="BF32" s="654">
        <f t="shared" si="21"/>
        <v>0</v>
      </c>
      <c r="BG32" s="655" t="str">
        <f t="shared" si="26"/>
        <v>Enter ML</v>
      </c>
      <c r="BH32" s="655" t="str">
        <f t="shared" si="22"/>
        <v>Enter area</v>
      </c>
      <c r="BI32" s="655" t="str">
        <f t="shared" si="27"/>
        <v>Enter share cost</v>
      </c>
      <c r="BJ32" s="656">
        <f t="shared" si="23"/>
        <v>0</v>
      </c>
      <c r="BK32" s="212" t="str">
        <f t="shared" si="24"/>
        <v>ok</v>
      </c>
    </row>
    <row r="33" spans="2:64" customFormat="1" ht="15">
      <c r="B33" s="492">
        <f t="shared" si="28"/>
        <v>24</v>
      </c>
      <c r="C33" s="148"/>
      <c r="D33" s="148"/>
      <c r="E33" s="666"/>
      <c r="F33" s="123"/>
      <c r="G33" s="126" t="s">
        <v>1991</v>
      </c>
      <c r="H33" s="126"/>
      <c r="I33" s="667" t="s">
        <v>124</v>
      </c>
      <c r="J33" s="17"/>
      <c r="K33" s="125" t="s">
        <v>175</v>
      </c>
      <c r="L33" s="4"/>
      <c r="M33" s="487">
        <f t="shared" si="0"/>
        <v>0</v>
      </c>
      <c r="N33" s="649" t="str">
        <f t="shared" si="1"/>
        <v>ok</v>
      </c>
      <c r="O33" s="8"/>
      <c r="P33" s="8"/>
      <c r="Q33" s="8"/>
      <c r="R33" s="487">
        <f t="shared" si="2"/>
        <v>0</v>
      </c>
      <c r="S33" s="487">
        <f t="shared" si="3"/>
        <v>0</v>
      </c>
      <c r="T33" s="4"/>
      <c r="U33" s="487">
        <f t="shared" si="4"/>
        <v>0</v>
      </c>
      <c r="V33" s="4"/>
      <c r="W33" s="487">
        <f t="shared" si="5"/>
        <v>0</v>
      </c>
      <c r="X33" s="17"/>
      <c r="Y33" s="487">
        <f t="shared" si="6"/>
        <v>0</v>
      </c>
      <c r="Z33" s="487">
        <f t="shared" si="7"/>
        <v>0</v>
      </c>
      <c r="AA33" s="17"/>
      <c r="AB33" s="650">
        <f t="shared" si="8"/>
        <v>150</v>
      </c>
      <c r="AC33" s="17"/>
      <c r="AD33" s="487">
        <f t="shared" si="9"/>
        <v>0</v>
      </c>
      <c r="AE33" s="487">
        <f t="shared" si="10"/>
        <v>0</v>
      </c>
      <c r="AF33" s="17"/>
      <c r="AG33" s="8"/>
      <c r="AH33" s="132" t="s">
        <v>273</v>
      </c>
      <c r="AI33" s="133"/>
      <c r="AJ33" s="132" t="s">
        <v>92</v>
      </c>
      <c r="AK33" s="133"/>
      <c r="AL33" s="132" t="s">
        <v>2056</v>
      </c>
      <c r="AM33" s="133"/>
      <c r="AN33" s="132" t="s">
        <v>4</v>
      </c>
      <c r="AO33" s="133"/>
      <c r="AP33" s="132" t="s">
        <v>273</v>
      </c>
      <c r="AQ33" s="133"/>
      <c r="AR33" s="132" t="s">
        <v>92</v>
      </c>
      <c r="AS33" s="133"/>
      <c r="AT33" s="651">
        <f t="shared" si="11"/>
        <v>2.3107425720267765</v>
      </c>
      <c r="AU33" s="651">
        <f t="shared" si="12"/>
        <v>0.36651249699628813</v>
      </c>
      <c r="AV33" s="651">
        <f t="shared" si="13"/>
        <v>2.3107425720267765</v>
      </c>
      <c r="AW33" s="633">
        <f>IF(I33=Lists!$C$41,pasture,IF(I33=Lists!$C$42,native,IF(I33=Lists!$C$43,0,"E")))</f>
        <v>1655.5</v>
      </c>
      <c r="AX33" s="652">
        <f t="shared" si="14"/>
        <v>0</v>
      </c>
      <c r="AY33" s="652">
        <f t="shared" si="15"/>
        <v>0</v>
      </c>
      <c r="AZ33" s="652">
        <f t="shared" si="16"/>
        <v>0</v>
      </c>
      <c r="BA33" s="652">
        <f t="shared" si="17"/>
        <v>0</v>
      </c>
      <c r="BB33" s="652">
        <f t="shared" si="18"/>
        <v>0</v>
      </c>
      <c r="BC33" s="652">
        <f t="shared" si="19"/>
        <v>0</v>
      </c>
      <c r="BD33" s="653">
        <f t="shared" si="25"/>
        <v>0</v>
      </c>
      <c r="BE33" s="652">
        <f t="shared" si="20"/>
        <v>0</v>
      </c>
      <c r="BF33" s="654">
        <f t="shared" si="21"/>
        <v>0</v>
      </c>
      <c r="BG33" s="655" t="str">
        <f t="shared" si="26"/>
        <v>Enter ML</v>
      </c>
      <c r="BH33" s="655" t="str">
        <f t="shared" si="22"/>
        <v>Enter area</v>
      </c>
      <c r="BI33" s="655" t="str">
        <f t="shared" si="27"/>
        <v>Enter share cost</v>
      </c>
      <c r="BJ33" s="656">
        <f t="shared" si="23"/>
        <v>0</v>
      </c>
      <c r="BK33" s="212" t="str">
        <f t="shared" si="24"/>
        <v>ok</v>
      </c>
    </row>
    <row r="34" spans="2:64" customFormat="1" ht="15">
      <c r="B34" s="492">
        <f t="shared" si="28"/>
        <v>25</v>
      </c>
      <c r="C34" s="148"/>
      <c r="D34" s="148"/>
      <c r="E34" s="666"/>
      <c r="F34" s="123"/>
      <c r="G34" s="126" t="s">
        <v>1991</v>
      </c>
      <c r="H34" s="126"/>
      <c r="I34" s="667" t="s">
        <v>124</v>
      </c>
      <c r="J34" s="17"/>
      <c r="K34" s="125" t="s">
        <v>175</v>
      </c>
      <c r="L34" s="4"/>
      <c r="M34" s="487">
        <f t="shared" si="0"/>
        <v>0</v>
      </c>
      <c r="N34" s="649" t="str">
        <f t="shared" si="1"/>
        <v>ok</v>
      </c>
      <c r="O34" s="8"/>
      <c r="P34" s="8"/>
      <c r="Q34" s="8"/>
      <c r="R34" s="487">
        <f t="shared" si="2"/>
        <v>0</v>
      </c>
      <c r="S34" s="487">
        <f t="shared" si="3"/>
        <v>0</v>
      </c>
      <c r="T34" s="4"/>
      <c r="U34" s="487">
        <f t="shared" si="4"/>
        <v>0</v>
      </c>
      <c r="V34" s="4"/>
      <c r="W34" s="487">
        <f t="shared" si="5"/>
        <v>0</v>
      </c>
      <c r="X34" s="17"/>
      <c r="Y34" s="487">
        <f t="shared" si="6"/>
        <v>0</v>
      </c>
      <c r="Z34" s="487">
        <f t="shared" si="7"/>
        <v>0</v>
      </c>
      <c r="AA34" s="17"/>
      <c r="AB34" s="650">
        <f t="shared" si="8"/>
        <v>150</v>
      </c>
      <c r="AC34" s="17"/>
      <c r="AD34" s="487">
        <f t="shared" si="9"/>
        <v>0</v>
      </c>
      <c r="AE34" s="487">
        <f t="shared" si="10"/>
        <v>0</v>
      </c>
      <c r="AF34" s="17"/>
      <c r="AG34" s="8"/>
      <c r="AH34" s="132" t="s">
        <v>273</v>
      </c>
      <c r="AI34" s="133"/>
      <c r="AJ34" s="132" t="s">
        <v>92</v>
      </c>
      <c r="AK34" s="133"/>
      <c r="AL34" s="132" t="s">
        <v>2056</v>
      </c>
      <c r="AM34" s="133"/>
      <c r="AN34" s="132" t="s">
        <v>4</v>
      </c>
      <c r="AO34" s="133"/>
      <c r="AP34" s="132" t="s">
        <v>273</v>
      </c>
      <c r="AQ34" s="133"/>
      <c r="AR34" s="132" t="s">
        <v>92</v>
      </c>
      <c r="AS34" s="133"/>
      <c r="AT34" s="651">
        <f t="shared" si="11"/>
        <v>2.3107425720267765</v>
      </c>
      <c r="AU34" s="651">
        <f t="shared" si="12"/>
        <v>0.36651249699628813</v>
      </c>
      <c r="AV34" s="651">
        <f t="shared" si="13"/>
        <v>2.3107425720267765</v>
      </c>
      <c r="AW34" s="633">
        <f>IF(I34=Lists!$C$41,pasture,IF(I34=Lists!$C$42,native,IF(I34=Lists!$C$43,0,"E")))</f>
        <v>1655.5</v>
      </c>
      <c r="AX34" s="652">
        <f t="shared" si="14"/>
        <v>0</v>
      </c>
      <c r="AY34" s="652">
        <f t="shared" si="15"/>
        <v>0</v>
      </c>
      <c r="AZ34" s="652">
        <f t="shared" si="16"/>
        <v>0</v>
      </c>
      <c r="BA34" s="652">
        <f t="shared" si="17"/>
        <v>0</v>
      </c>
      <c r="BB34" s="652">
        <f t="shared" si="18"/>
        <v>0</v>
      </c>
      <c r="BC34" s="652">
        <f t="shared" si="19"/>
        <v>0</v>
      </c>
      <c r="BD34" s="653">
        <f t="shared" si="25"/>
        <v>0</v>
      </c>
      <c r="BE34" s="652">
        <f t="shared" si="20"/>
        <v>0</v>
      </c>
      <c r="BF34" s="654">
        <f t="shared" si="21"/>
        <v>0</v>
      </c>
      <c r="BG34" s="655" t="str">
        <f t="shared" si="26"/>
        <v>Enter ML</v>
      </c>
      <c r="BH34" s="655" t="str">
        <f t="shared" si="22"/>
        <v>Enter area</v>
      </c>
      <c r="BI34" s="655" t="str">
        <f t="shared" si="27"/>
        <v>Enter share cost</v>
      </c>
      <c r="BJ34" s="656">
        <f t="shared" si="23"/>
        <v>0</v>
      </c>
      <c r="BK34" s="212" t="str">
        <f t="shared" si="24"/>
        <v>ok</v>
      </c>
    </row>
    <row r="35" spans="2:64" customFormat="1" ht="15">
      <c r="B35" s="492">
        <f t="shared" si="28"/>
        <v>26</v>
      </c>
      <c r="C35" s="148"/>
      <c r="D35" s="148"/>
      <c r="E35" s="666"/>
      <c r="F35" s="123"/>
      <c r="G35" s="126" t="s">
        <v>1991</v>
      </c>
      <c r="H35" s="126"/>
      <c r="I35" s="667" t="s">
        <v>124</v>
      </c>
      <c r="J35" s="17"/>
      <c r="K35" s="125" t="s">
        <v>175</v>
      </c>
      <c r="L35" s="4"/>
      <c r="M35" s="487">
        <f t="shared" si="0"/>
        <v>0</v>
      </c>
      <c r="N35" s="649" t="str">
        <f t="shared" si="1"/>
        <v>ok</v>
      </c>
      <c r="O35" s="8"/>
      <c r="P35" s="8"/>
      <c r="Q35" s="8"/>
      <c r="R35" s="487">
        <f t="shared" si="2"/>
        <v>0</v>
      </c>
      <c r="S35" s="487">
        <f t="shared" si="3"/>
        <v>0</v>
      </c>
      <c r="T35" s="4"/>
      <c r="U35" s="487">
        <f t="shared" si="4"/>
        <v>0</v>
      </c>
      <c r="V35" s="4"/>
      <c r="W35" s="487">
        <f t="shared" si="5"/>
        <v>0</v>
      </c>
      <c r="X35" s="17"/>
      <c r="Y35" s="487">
        <f t="shared" si="6"/>
        <v>0</v>
      </c>
      <c r="Z35" s="487">
        <f t="shared" si="7"/>
        <v>0</v>
      </c>
      <c r="AA35" s="17"/>
      <c r="AB35" s="650">
        <f t="shared" si="8"/>
        <v>150</v>
      </c>
      <c r="AC35" s="17"/>
      <c r="AD35" s="487">
        <f t="shared" si="9"/>
        <v>0</v>
      </c>
      <c r="AE35" s="487">
        <f t="shared" si="10"/>
        <v>0</v>
      </c>
      <c r="AF35" s="17"/>
      <c r="AG35" s="8"/>
      <c r="AH35" s="132" t="s">
        <v>273</v>
      </c>
      <c r="AI35" s="133"/>
      <c r="AJ35" s="132" t="s">
        <v>92</v>
      </c>
      <c r="AK35" s="133"/>
      <c r="AL35" s="132" t="s">
        <v>2056</v>
      </c>
      <c r="AM35" s="133"/>
      <c r="AN35" s="132" t="s">
        <v>4</v>
      </c>
      <c r="AO35" s="133"/>
      <c r="AP35" s="132" t="s">
        <v>273</v>
      </c>
      <c r="AQ35" s="133"/>
      <c r="AR35" s="132" t="s">
        <v>92</v>
      </c>
      <c r="AS35" s="133"/>
      <c r="AT35" s="651">
        <f t="shared" si="11"/>
        <v>2.3107425720267765</v>
      </c>
      <c r="AU35" s="651">
        <f t="shared" si="12"/>
        <v>0.36651249699628813</v>
      </c>
      <c r="AV35" s="651">
        <f t="shared" si="13"/>
        <v>2.3107425720267765</v>
      </c>
      <c r="AW35" s="633">
        <f>IF(I35=Lists!$C$41,pasture,IF(I35=Lists!$C$42,native,IF(I35=Lists!$C$43,0,"E")))</f>
        <v>1655.5</v>
      </c>
      <c r="AX35" s="652">
        <f t="shared" si="14"/>
        <v>0</v>
      </c>
      <c r="AY35" s="652">
        <f t="shared" si="15"/>
        <v>0</v>
      </c>
      <c r="AZ35" s="652">
        <f t="shared" si="16"/>
        <v>0</v>
      </c>
      <c r="BA35" s="652">
        <f t="shared" si="17"/>
        <v>0</v>
      </c>
      <c r="BB35" s="652">
        <f t="shared" si="18"/>
        <v>0</v>
      </c>
      <c r="BC35" s="652">
        <f t="shared" si="19"/>
        <v>0</v>
      </c>
      <c r="BD35" s="653">
        <f t="shared" si="25"/>
        <v>0</v>
      </c>
      <c r="BE35" s="652">
        <f t="shared" si="20"/>
        <v>0</v>
      </c>
      <c r="BF35" s="654">
        <f t="shared" si="21"/>
        <v>0</v>
      </c>
      <c r="BG35" s="655" t="str">
        <f t="shared" si="26"/>
        <v>Enter ML</v>
      </c>
      <c r="BH35" s="655" t="str">
        <f t="shared" si="22"/>
        <v>Enter area</v>
      </c>
      <c r="BI35" s="655" t="str">
        <f t="shared" si="27"/>
        <v>Enter share cost</v>
      </c>
      <c r="BJ35" s="656">
        <f t="shared" si="23"/>
        <v>0</v>
      </c>
      <c r="BK35" s="212" t="str">
        <f t="shared" si="24"/>
        <v>ok</v>
      </c>
    </row>
    <row r="36" spans="2:64" customFormat="1" ht="15">
      <c r="B36" s="492">
        <f t="shared" si="28"/>
        <v>27</v>
      </c>
      <c r="C36" s="148"/>
      <c r="D36" s="148"/>
      <c r="E36" s="666"/>
      <c r="F36" s="123"/>
      <c r="G36" s="126" t="s">
        <v>1991</v>
      </c>
      <c r="H36" s="126"/>
      <c r="I36" s="667" t="s">
        <v>124</v>
      </c>
      <c r="J36" s="17"/>
      <c r="K36" s="125" t="s">
        <v>175</v>
      </c>
      <c r="L36" s="4"/>
      <c r="M36" s="487">
        <f t="shared" si="0"/>
        <v>0</v>
      </c>
      <c r="N36" s="649" t="str">
        <f t="shared" si="1"/>
        <v>ok</v>
      </c>
      <c r="O36" s="8"/>
      <c r="P36" s="8"/>
      <c r="Q36" s="8"/>
      <c r="R36" s="487">
        <f t="shared" si="2"/>
        <v>0</v>
      </c>
      <c r="S36" s="487">
        <f t="shared" si="3"/>
        <v>0</v>
      </c>
      <c r="T36" s="4"/>
      <c r="U36" s="487">
        <f t="shared" si="4"/>
        <v>0</v>
      </c>
      <c r="V36" s="4"/>
      <c r="W36" s="487">
        <f t="shared" si="5"/>
        <v>0</v>
      </c>
      <c r="X36" s="17"/>
      <c r="Y36" s="487">
        <f t="shared" si="6"/>
        <v>0</v>
      </c>
      <c r="Z36" s="487">
        <f t="shared" si="7"/>
        <v>0</v>
      </c>
      <c r="AA36" s="17"/>
      <c r="AB36" s="650">
        <f t="shared" si="8"/>
        <v>150</v>
      </c>
      <c r="AC36" s="17"/>
      <c r="AD36" s="487">
        <f t="shared" si="9"/>
        <v>0</v>
      </c>
      <c r="AE36" s="487">
        <f t="shared" si="10"/>
        <v>0</v>
      </c>
      <c r="AF36" s="17"/>
      <c r="AG36" s="8"/>
      <c r="AH36" s="132" t="s">
        <v>273</v>
      </c>
      <c r="AI36" s="133"/>
      <c r="AJ36" s="132" t="s">
        <v>92</v>
      </c>
      <c r="AK36" s="133"/>
      <c r="AL36" s="132" t="s">
        <v>2056</v>
      </c>
      <c r="AM36" s="133"/>
      <c r="AN36" s="132" t="s">
        <v>4</v>
      </c>
      <c r="AO36" s="133"/>
      <c r="AP36" s="132" t="s">
        <v>273</v>
      </c>
      <c r="AQ36" s="133"/>
      <c r="AR36" s="132" t="s">
        <v>92</v>
      </c>
      <c r="AS36" s="133"/>
      <c r="AT36" s="651">
        <f t="shared" si="11"/>
        <v>2.3107425720267765</v>
      </c>
      <c r="AU36" s="651">
        <f t="shared" si="12"/>
        <v>0.36651249699628813</v>
      </c>
      <c r="AV36" s="651">
        <f t="shared" si="13"/>
        <v>2.3107425720267765</v>
      </c>
      <c r="AW36" s="633">
        <f>IF(I36=Lists!$C$41,pasture,IF(I36=Lists!$C$42,native,IF(I36=Lists!$C$43,0,"E")))</f>
        <v>1655.5</v>
      </c>
      <c r="AX36" s="652">
        <f t="shared" si="14"/>
        <v>0</v>
      </c>
      <c r="AY36" s="652">
        <f t="shared" si="15"/>
        <v>0</v>
      </c>
      <c r="AZ36" s="652">
        <f t="shared" si="16"/>
        <v>0</v>
      </c>
      <c r="BA36" s="652">
        <f t="shared" si="17"/>
        <v>0</v>
      </c>
      <c r="BB36" s="652">
        <f t="shared" si="18"/>
        <v>0</v>
      </c>
      <c r="BC36" s="652">
        <f t="shared" si="19"/>
        <v>0</v>
      </c>
      <c r="BD36" s="653">
        <f t="shared" si="25"/>
        <v>0</v>
      </c>
      <c r="BE36" s="652">
        <f t="shared" si="20"/>
        <v>0</v>
      </c>
      <c r="BF36" s="654">
        <f t="shared" si="21"/>
        <v>0</v>
      </c>
      <c r="BG36" s="655" t="str">
        <f t="shared" si="26"/>
        <v>Enter ML</v>
      </c>
      <c r="BH36" s="655" t="str">
        <f t="shared" si="22"/>
        <v>Enter area</v>
      </c>
      <c r="BI36" s="655" t="str">
        <f t="shared" si="27"/>
        <v>Enter share cost</v>
      </c>
      <c r="BJ36" s="656">
        <f t="shared" si="23"/>
        <v>0</v>
      </c>
      <c r="BK36" s="212" t="str">
        <f t="shared" si="24"/>
        <v>ok</v>
      </c>
    </row>
    <row r="37" spans="2:64" customFormat="1" ht="15">
      <c r="B37" s="492">
        <f t="shared" si="28"/>
        <v>28</v>
      </c>
      <c r="C37" s="148"/>
      <c r="D37" s="148"/>
      <c r="E37" s="666"/>
      <c r="F37" s="123"/>
      <c r="G37" s="126" t="s">
        <v>1991</v>
      </c>
      <c r="H37" s="126"/>
      <c r="I37" s="667" t="s">
        <v>124</v>
      </c>
      <c r="J37" s="17"/>
      <c r="K37" s="125" t="s">
        <v>175</v>
      </c>
      <c r="L37" s="4"/>
      <c r="M37" s="487">
        <f t="shared" si="0"/>
        <v>0</v>
      </c>
      <c r="N37" s="649" t="str">
        <f t="shared" si="1"/>
        <v>ok</v>
      </c>
      <c r="O37" s="8"/>
      <c r="P37" s="8"/>
      <c r="Q37" s="8"/>
      <c r="R37" s="487">
        <f t="shared" si="2"/>
        <v>0</v>
      </c>
      <c r="S37" s="487">
        <f t="shared" si="3"/>
        <v>0</v>
      </c>
      <c r="T37" s="4"/>
      <c r="U37" s="487">
        <f t="shared" si="4"/>
        <v>0</v>
      </c>
      <c r="V37" s="4"/>
      <c r="W37" s="487">
        <f t="shared" si="5"/>
        <v>0</v>
      </c>
      <c r="X37" s="17"/>
      <c r="Y37" s="487">
        <f t="shared" si="6"/>
        <v>0</v>
      </c>
      <c r="Z37" s="487">
        <f t="shared" si="7"/>
        <v>0</v>
      </c>
      <c r="AA37" s="17"/>
      <c r="AB37" s="650">
        <f t="shared" si="8"/>
        <v>150</v>
      </c>
      <c r="AC37" s="17"/>
      <c r="AD37" s="487">
        <f t="shared" si="9"/>
        <v>0</v>
      </c>
      <c r="AE37" s="487">
        <f t="shared" si="10"/>
        <v>0</v>
      </c>
      <c r="AF37" s="17"/>
      <c r="AG37" s="8"/>
      <c r="AH37" s="132" t="s">
        <v>273</v>
      </c>
      <c r="AI37" s="133"/>
      <c r="AJ37" s="132" t="s">
        <v>92</v>
      </c>
      <c r="AK37" s="133"/>
      <c r="AL37" s="132" t="s">
        <v>2056</v>
      </c>
      <c r="AM37" s="133"/>
      <c r="AN37" s="132" t="s">
        <v>4</v>
      </c>
      <c r="AO37" s="133"/>
      <c r="AP37" s="132" t="s">
        <v>273</v>
      </c>
      <c r="AQ37" s="133"/>
      <c r="AR37" s="132" t="s">
        <v>92</v>
      </c>
      <c r="AS37" s="133"/>
      <c r="AT37" s="651">
        <f t="shared" si="11"/>
        <v>2.3107425720267765</v>
      </c>
      <c r="AU37" s="651">
        <f t="shared" si="12"/>
        <v>0.36651249699628813</v>
      </c>
      <c r="AV37" s="651">
        <f t="shared" si="13"/>
        <v>2.3107425720267765</v>
      </c>
      <c r="AW37" s="633">
        <f>IF(I37=Lists!$C$41,pasture,IF(I37=Lists!$C$42,native,IF(I37=Lists!$C$43,0,"E")))</f>
        <v>1655.5</v>
      </c>
      <c r="AX37" s="652">
        <f t="shared" si="14"/>
        <v>0</v>
      </c>
      <c r="AY37" s="652">
        <f t="shared" si="15"/>
        <v>0</v>
      </c>
      <c r="AZ37" s="652">
        <f t="shared" si="16"/>
        <v>0</v>
      </c>
      <c r="BA37" s="652">
        <f t="shared" si="17"/>
        <v>0</v>
      </c>
      <c r="BB37" s="652">
        <f t="shared" si="18"/>
        <v>0</v>
      </c>
      <c r="BC37" s="652">
        <f t="shared" si="19"/>
        <v>0</v>
      </c>
      <c r="BD37" s="653">
        <f t="shared" si="25"/>
        <v>0</v>
      </c>
      <c r="BE37" s="652">
        <f t="shared" si="20"/>
        <v>0</v>
      </c>
      <c r="BF37" s="654">
        <f t="shared" si="21"/>
        <v>0</v>
      </c>
      <c r="BG37" s="655" t="str">
        <f t="shared" si="26"/>
        <v>Enter ML</v>
      </c>
      <c r="BH37" s="655" t="str">
        <f t="shared" si="22"/>
        <v>Enter area</v>
      </c>
      <c r="BI37" s="655" t="str">
        <f t="shared" si="27"/>
        <v>Enter share cost</v>
      </c>
      <c r="BJ37" s="656">
        <f t="shared" si="23"/>
        <v>0</v>
      </c>
      <c r="BK37" s="212" t="str">
        <f t="shared" si="24"/>
        <v>ok</v>
      </c>
    </row>
    <row r="38" spans="2:64" customFormat="1" ht="15">
      <c r="B38" s="492">
        <f t="shared" si="28"/>
        <v>29</v>
      </c>
      <c r="C38" s="148"/>
      <c r="D38" s="148"/>
      <c r="E38" s="666"/>
      <c r="F38" s="123"/>
      <c r="G38" s="126" t="s">
        <v>1991</v>
      </c>
      <c r="H38" s="126"/>
      <c r="I38" s="667" t="s">
        <v>124</v>
      </c>
      <c r="J38" s="17"/>
      <c r="K38" s="125" t="s">
        <v>175</v>
      </c>
      <c r="L38" s="4"/>
      <c r="M38" s="487">
        <f t="shared" si="0"/>
        <v>0</v>
      </c>
      <c r="N38" s="649" t="str">
        <f t="shared" si="1"/>
        <v>ok</v>
      </c>
      <c r="O38" s="8"/>
      <c r="P38" s="8"/>
      <c r="Q38" s="8"/>
      <c r="R38" s="487">
        <f t="shared" si="2"/>
        <v>0</v>
      </c>
      <c r="S38" s="487">
        <f t="shared" si="3"/>
        <v>0</v>
      </c>
      <c r="T38" s="4"/>
      <c r="U38" s="487">
        <f t="shared" si="4"/>
        <v>0</v>
      </c>
      <c r="V38" s="4"/>
      <c r="W38" s="487">
        <f t="shared" si="5"/>
        <v>0</v>
      </c>
      <c r="X38" s="17"/>
      <c r="Y38" s="487">
        <f t="shared" si="6"/>
        <v>0</v>
      </c>
      <c r="Z38" s="487">
        <f t="shared" si="7"/>
        <v>0</v>
      </c>
      <c r="AA38" s="17"/>
      <c r="AB38" s="650">
        <f t="shared" si="8"/>
        <v>150</v>
      </c>
      <c r="AC38" s="17"/>
      <c r="AD38" s="487">
        <f t="shared" si="9"/>
        <v>0</v>
      </c>
      <c r="AE38" s="487">
        <f t="shared" si="10"/>
        <v>0</v>
      </c>
      <c r="AF38" s="17"/>
      <c r="AG38" s="8"/>
      <c r="AH38" s="132" t="s">
        <v>273</v>
      </c>
      <c r="AI38" s="133"/>
      <c r="AJ38" s="132" t="s">
        <v>92</v>
      </c>
      <c r="AK38" s="133"/>
      <c r="AL38" s="132" t="s">
        <v>2056</v>
      </c>
      <c r="AM38" s="133"/>
      <c r="AN38" s="132" t="s">
        <v>4</v>
      </c>
      <c r="AO38" s="133"/>
      <c r="AP38" s="132" t="s">
        <v>273</v>
      </c>
      <c r="AQ38" s="133"/>
      <c r="AR38" s="132" t="s">
        <v>92</v>
      </c>
      <c r="AS38" s="133"/>
      <c r="AT38" s="651">
        <f t="shared" si="11"/>
        <v>2.3107425720267765</v>
      </c>
      <c r="AU38" s="651">
        <f t="shared" si="12"/>
        <v>0.36651249699628813</v>
      </c>
      <c r="AV38" s="651">
        <f t="shared" si="13"/>
        <v>2.3107425720267765</v>
      </c>
      <c r="AW38" s="633">
        <f>IF(I38=Lists!$C$41,pasture,IF(I38=Lists!$C$42,native,IF(I38=Lists!$C$43,0,"E")))</f>
        <v>1655.5</v>
      </c>
      <c r="AX38" s="652">
        <f t="shared" si="14"/>
        <v>0</v>
      </c>
      <c r="AY38" s="652">
        <f t="shared" si="15"/>
        <v>0</v>
      </c>
      <c r="AZ38" s="652">
        <f t="shared" si="16"/>
        <v>0</v>
      </c>
      <c r="BA38" s="652">
        <f t="shared" si="17"/>
        <v>0</v>
      </c>
      <c r="BB38" s="652">
        <f t="shared" si="18"/>
        <v>0</v>
      </c>
      <c r="BC38" s="652">
        <f t="shared" si="19"/>
        <v>0</v>
      </c>
      <c r="BD38" s="653">
        <f t="shared" si="25"/>
        <v>0</v>
      </c>
      <c r="BE38" s="652">
        <f t="shared" si="20"/>
        <v>0</v>
      </c>
      <c r="BF38" s="654">
        <f t="shared" si="21"/>
        <v>0</v>
      </c>
      <c r="BG38" s="655" t="str">
        <f t="shared" si="26"/>
        <v>Enter ML</v>
      </c>
      <c r="BH38" s="655" t="str">
        <f t="shared" si="22"/>
        <v>Enter area</v>
      </c>
      <c r="BI38" s="655" t="str">
        <f t="shared" si="27"/>
        <v>Enter share cost</v>
      </c>
      <c r="BJ38" s="656">
        <f t="shared" si="23"/>
        <v>0</v>
      </c>
      <c r="BK38" s="212" t="str">
        <f t="shared" si="24"/>
        <v>ok</v>
      </c>
    </row>
    <row r="39" spans="2:64" customFormat="1" ht="15">
      <c r="B39" s="492">
        <f t="shared" si="28"/>
        <v>30</v>
      </c>
      <c r="C39" s="148"/>
      <c r="D39" s="148"/>
      <c r="E39" s="666"/>
      <c r="F39" s="123"/>
      <c r="G39" s="126" t="s">
        <v>1991</v>
      </c>
      <c r="H39" s="126"/>
      <c r="I39" s="667" t="s">
        <v>124</v>
      </c>
      <c r="J39" s="17"/>
      <c r="K39" s="125" t="s">
        <v>175</v>
      </c>
      <c r="L39" s="4"/>
      <c r="M39" s="487">
        <f t="shared" si="0"/>
        <v>0</v>
      </c>
      <c r="N39" s="649" t="str">
        <f t="shared" si="1"/>
        <v>ok</v>
      </c>
      <c r="O39" s="8"/>
      <c r="P39" s="8"/>
      <c r="Q39" s="8"/>
      <c r="R39" s="487">
        <f t="shared" si="2"/>
        <v>0</v>
      </c>
      <c r="S39" s="487">
        <f t="shared" si="3"/>
        <v>0</v>
      </c>
      <c r="T39" s="4"/>
      <c r="U39" s="487">
        <f t="shared" si="4"/>
        <v>0</v>
      </c>
      <c r="V39" s="4"/>
      <c r="W39" s="487">
        <f t="shared" si="5"/>
        <v>0</v>
      </c>
      <c r="X39" s="17"/>
      <c r="Y39" s="487">
        <f t="shared" si="6"/>
        <v>0</v>
      </c>
      <c r="Z39" s="487">
        <f t="shared" si="7"/>
        <v>0</v>
      </c>
      <c r="AA39" s="17"/>
      <c r="AB39" s="650">
        <f t="shared" si="8"/>
        <v>150</v>
      </c>
      <c r="AC39" s="17"/>
      <c r="AD39" s="487">
        <f t="shared" si="9"/>
        <v>0</v>
      </c>
      <c r="AE39" s="487">
        <f t="shared" si="10"/>
        <v>0</v>
      </c>
      <c r="AF39" s="17"/>
      <c r="AG39" s="8"/>
      <c r="AH39" s="132" t="s">
        <v>273</v>
      </c>
      <c r="AI39" s="133"/>
      <c r="AJ39" s="132" t="s">
        <v>92</v>
      </c>
      <c r="AK39" s="133"/>
      <c r="AL39" s="132" t="s">
        <v>2056</v>
      </c>
      <c r="AM39" s="133"/>
      <c r="AN39" s="132" t="s">
        <v>4</v>
      </c>
      <c r="AO39" s="133"/>
      <c r="AP39" s="132" t="s">
        <v>273</v>
      </c>
      <c r="AQ39" s="133"/>
      <c r="AR39" s="132" t="s">
        <v>92</v>
      </c>
      <c r="AS39" s="133"/>
      <c r="AT39" s="651">
        <f t="shared" si="11"/>
        <v>2.3107425720267765</v>
      </c>
      <c r="AU39" s="651">
        <f t="shared" si="12"/>
        <v>0.36651249699628813</v>
      </c>
      <c r="AV39" s="651">
        <f t="shared" si="13"/>
        <v>2.3107425720267765</v>
      </c>
      <c r="AW39" s="633">
        <f>IF(I39=Lists!$C$41,pasture,IF(I39=Lists!$C$42,native,IF(I39=Lists!$C$43,0,"E")))</f>
        <v>1655.5</v>
      </c>
      <c r="AX39" s="652">
        <f t="shared" si="14"/>
        <v>0</v>
      </c>
      <c r="AY39" s="652">
        <f t="shared" si="15"/>
        <v>0</v>
      </c>
      <c r="AZ39" s="652">
        <f t="shared" si="16"/>
        <v>0</v>
      </c>
      <c r="BA39" s="652">
        <f t="shared" si="17"/>
        <v>0</v>
      </c>
      <c r="BB39" s="652">
        <f t="shared" si="18"/>
        <v>0</v>
      </c>
      <c r="BC39" s="652">
        <f t="shared" si="19"/>
        <v>0</v>
      </c>
      <c r="BD39" s="653">
        <f t="shared" si="25"/>
        <v>0</v>
      </c>
      <c r="BE39" s="652">
        <f t="shared" si="20"/>
        <v>0</v>
      </c>
      <c r="BF39" s="654">
        <f t="shared" si="21"/>
        <v>0</v>
      </c>
      <c r="BG39" s="655" t="str">
        <f t="shared" si="26"/>
        <v>Enter ML</v>
      </c>
      <c r="BH39" s="655" t="str">
        <f t="shared" si="22"/>
        <v>Enter area</v>
      </c>
      <c r="BI39" s="655" t="str">
        <f t="shared" si="27"/>
        <v>Enter share cost</v>
      </c>
      <c r="BJ39" s="656">
        <f t="shared" si="23"/>
        <v>0</v>
      </c>
      <c r="BK39" s="212" t="str">
        <f t="shared" si="24"/>
        <v>ok</v>
      </c>
    </row>
    <row r="40" spans="2:64" customFormat="1" ht="18" customHeight="1">
      <c r="F40" s="315"/>
      <c r="G40" s="315"/>
      <c r="H40" s="315"/>
      <c r="J40" s="657"/>
      <c r="K40" s="658"/>
      <c r="M40" s="659"/>
      <c r="O40" s="659"/>
      <c r="P40" s="659"/>
      <c r="Q40" s="659"/>
      <c r="R40" s="660"/>
      <c r="S40" s="660"/>
      <c r="T40" s="660"/>
      <c r="U40" s="660"/>
      <c r="V40" s="660"/>
      <c r="W40" s="660"/>
      <c r="X40" s="660"/>
      <c r="Y40" s="660"/>
      <c r="Z40" s="660"/>
      <c r="AA40" s="660"/>
      <c r="AB40" s="660"/>
      <c r="AC40" s="660"/>
      <c r="AD40" s="660"/>
      <c r="AE40" s="660"/>
      <c r="AF40" s="660"/>
      <c r="AH40" s="661"/>
      <c r="AI40" s="661"/>
      <c r="AT40" s="212"/>
      <c r="AU40" s="662"/>
      <c r="AV40" s="212"/>
      <c r="AW40" s="212"/>
      <c r="AX40" s="663"/>
      <c r="AY40" s="663"/>
      <c r="AZ40" s="663"/>
      <c r="BA40" s="663"/>
      <c r="BB40" s="663"/>
      <c r="BC40" s="663"/>
      <c r="BD40" s="663"/>
      <c r="BE40" s="663"/>
      <c r="BF40" s="663"/>
      <c r="BG40" s="663"/>
      <c r="BH40" s="663"/>
      <c r="BI40" s="663"/>
      <c r="BJ40" s="663"/>
    </row>
    <row r="41" spans="2:64" customFormat="1" ht="18" customHeight="1">
      <c r="B41" s="315"/>
      <c r="C41" s="315"/>
      <c r="D41" s="50"/>
      <c r="E41" s="50"/>
      <c r="F41" s="50"/>
      <c r="G41" s="50"/>
      <c r="H41" s="51">
        <f>SUM(H9:H40)</f>
        <v>0</v>
      </c>
      <c r="I41" s="51"/>
      <c r="J41" s="124">
        <f t="shared" ref="J41" si="29">SUM(J9:J40)</f>
        <v>0</v>
      </c>
      <c r="K41" s="124">
        <f t="shared" ref="K41" si="30">SUM(K9:K40)</f>
        <v>0</v>
      </c>
      <c r="L41" s="124">
        <f t="shared" ref="L41" si="31">SUM(L9:L40)</f>
        <v>0</v>
      </c>
      <c r="M41" s="124">
        <f t="shared" ref="M41" si="32">SUM(M9:M40)</f>
        <v>0</v>
      </c>
      <c r="R41" s="660"/>
      <c r="S41" s="660"/>
      <c r="T41" s="660"/>
      <c r="U41" s="660"/>
      <c r="V41" s="660"/>
      <c r="W41" s="660"/>
      <c r="X41" s="660"/>
      <c r="Y41" s="660"/>
      <c r="Z41" s="660"/>
      <c r="AA41" s="660"/>
      <c r="AB41" s="660"/>
      <c r="AC41" s="660"/>
      <c r="AD41" s="514">
        <f>SUM(AD9:AD40)</f>
        <v>0</v>
      </c>
      <c r="AE41" s="514">
        <f>SUM(AE9:AE40)</f>
        <v>0</v>
      </c>
      <c r="AF41" s="514">
        <f>SUM(AF9:AF40)</f>
        <v>0</v>
      </c>
      <c r="AG41" s="524">
        <f>SUM(AG9:AG40)</f>
        <v>0</v>
      </c>
      <c r="AT41" s="212"/>
      <c r="AU41" s="212"/>
      <c r="AV41" s="212"/>
      <c r="AW41" s="212"/>
      <c r="AX41" s="652">
        <f>SUM(AX9:AX40)</f>
        <v>0</v>
      </c>
      <c r="AY41" s="652">
        <f t="shared" ref="AY41:BE41" si="33">SUM(AY9:AY40)</f>
        <v>0</v>
      </c>
      <c r="AZ41" s="652">
        <f t="shared" si="33"/>
        <v>0</v>
      </c>
      <c r="BA41" s="652">
        <f t="shared" si="33"/>
        <v>0</v>
      </c>
      <c r="BB41" s="652">
        <f t="shared" si="33"/>
        <v>0</v>
      </c>
      <c r="BC41" s="652">
        <f t="shared" si="33"/>
        <v>0</v>
      </c>
      <c r="BD41" s="652">
        <f t="shared" si="33"/>
        <v>0</v>
      </c>
      <c r="BE41" s="652">
        <f t="shared" si="33"/>
        <v>0</v>
      </c>
      <c r="BF41" s="664">
        <f>SUM(BF9:BF40)</f>
        <v>0</v>
      </c>
      <c r="BG41" s="663"/>
      <c r="BH41" s="663"/>
      <c r="BI41" s="663"/>
      <c r="BJ41" s="664">
        <f>SUM(BJ9:BJ40)</f>
        <v>0</v>
      </c>
      <c r="BK41" s="9">
        <f>IF(H41=0,0,BJ41/H41)</f>
        <v>0</v>
      </c>
      <c r="BL41" s="214" t="s">
        <v>282</v>
      </c>
    </row>
    <row r="42" spans="2:64" ht="16.350000000000001" customHeight="1">
      <c r="E42" s="497"/>
      <c r="H42" s="497"/>
      <c r="L42" s="494"/>
      <c r="AT42" s="496"/>
      <c r="AU42" s="496"/>
      <c r="AV42" s="496"/>
      <c r="AW42" s="496"/>
      <c r="AX42" s="496"/>
      <c r="AY42" s="496"/>
      <c r="AZ42" s="496"/>
      <c r="BA42" s="496"/>
      <c r="BB42" s="496"/>
      <c r="BC42" s="496"/>
      <c r="BD42" s="496"/>
      <c r="BE42" s="496"/>
      <c r="BF42" s="496"/>
      <c r="BG42" s="496"/>
      <c r="BH42" s="496"/>
      <c r="BI42" s="496"/>
      <c r="BJ42" s="496"/>
    </row>
    <row r="43" spans="2:64" ht="16.350000000000001" customHeight="1">
      <c r="E43" s="497"/>
      <c r="H43" s="497"/>
      <c r="L43" s="494"/>
    </row>
    <row r="44" spans="2:64" ht="16.350000000000001" customHeight="1">
      <c r="E44" s="497"/>
      <c r="H44" s="497"/>
      <c r="L44" s="494"/>
    </row>
    <row r="45" spans="2:64" ht="16.350000000000001" customHeight="1">
      <c r="E45" s="497"/>
      <c r="H45" s="497"/>
      <c r="L45" s="494"/>
    </row>
    <row r="46" spans="2:64" ht="16.350000000000001" customHeight="1"/>
    <row r="47" spans="2:64" ht="16.350000000000001" customHeight="1"/>
    <row r="48" spans="2:64" ht="16.350000000000001" customHeight="1"/>
    <row r="49" ht="16.350000000000001" customHeight="1"/>
    <row r="50" ht="16.350000000000001" customHeight="1"/>
    <row r="51" ht="16.350000000000001" customHeight="1"/>
  </sheetData>
  <sheetProtection algorithmName="SHA-512" hashValue="DSgHustK1u1RaQD508tqgceH859nwhUhU5qrpq0/4ahkY0h+N2F3hLq7bHeHijCnbFJ60vbMV9UXcnpSvu62nw==" saltValue="zmRIGoRnDaOqK0u8e0e5NQ==" spinCount="100000" sheet="1" objects="1" scenarios="1" autoFilter="0"/>
  <phoneticPr fontId="12" type="noConversion"/>
  <conditionalFormatting sqref="N10:N39">
    <cfRule type="containsText" dxfId="3" priority="5" operator="containsText" text="E">
      <formula>NOT(ISERROR(SEARCH("E",N10)))</formula>
    </cfRule>
  </conditionalFormatting>
  <conditionalFormatting sqref="BG10:BH39">
    <cfRule type="containsText" dxfId="2" priority="4" operator="containsText" text="Ente">
      <formula>NOT(ISERROR(SEARCH("Ente",BG10)))</formula>
    </cfRule>
  </conditionalFormatting>
  <conditionalFormatting sqref="BI10:BI39">
    <cfRule type="containsText" dxfId="1" priority="1" operator="containsText" text="share">
      <formula>NOT(ISERROR(SEARCH("share",BI10)))</formula>
    </cfRule>
  </conditionalFormatting>
  <conditionalFormatting sqref="BK10:BK39">
    <cfRule type="containsText" dxfId="0" priority="2" operator="containsText" text="upfront">
      <formula>NOT(ISERROR(SEARCH("upfront",BK10)))</formula>
    </cfRule>
  </conditionalFormatting>
  <dataValidations count="12">
    <dataValidation type="list" allowBlank="1" showInputMessage="1" showErrorMessage="1" sqref="I10:I39" xr:uid="{A64CACC9-86DF-4C87-9A1B-FFACF5089B5C}">
      <formula1>Seed_type</formula1>
    </dataValidation>
    <dataValidation type="list" allowBlank="1" showInputMessage="1" showErrorMessage="1" sqref="AN10:AN39" xr:uid="{12BBFCDB-E840-4472-A873-52C0335C65D8}">
      <formula1>Dozers</formula1>
    </dataValidation>
    <dataValidation type="list" allowBlank="1" showInputMessage="1" showErrorMessage="1" sqref="AL10:AL39" xr:uid="{E45E7467-F57C-4DAF-9317-7298D33A419A}">
      <formula1>Dozer_push_length</formula1>
    </dataValidation>
    <dataValidation type="list" allowBlank="1" showInputMessage="1" showErrorMessage="1" sqref="AH10:AH39 AP10:AP39" xr:uid="{D6260917-7D53-48FD-99D0-AF2462A0D404}">
      <formula1>Load_and_Haul</formula1>
    </dataValidation>
    <dataValidation allowBlank="1" showInputMessage="1" showErrorMessage="1" prompt="_x000a__x000a_" sqref="F8:G8" xr:uid="{AE8596EB-3598-4DD9-9260-DFAE811F19C5}"/>
    <dataValidation type="list" allowBlank="1" showInputMessage="1" showErrorMessage="1" sqref="K10:K40" xr:uid="{6E54F06E-D122-412B-B6D7-9CC04BF65241}">
      <formula1>Dam_liner</formula1>
    </dataValidation>
    <dataValidation type="list" allowBlank="1" showInputMessage="1" showErrorMessage="1" sqref="AH40" xr:uid="{5C847054-80FD-44D5-A50A-032CA0F3BB9A}">
      <formula1>Haulage_Silt</formula1>
    </dataValidation>
    <dataValidation allowBlank="1" showInputMessage="1" showErrorMessage="1" prompt="if no user value is entered the default is used" sqref="X8" xr:uid="{B73D3430-580A-4FCC-B425-3A8015970DBA}"/>
    <dataValidation type="list" allowBlank="1" showInputMessage="1" showErrorMessage="1" sqref="AR10:AR39" xr:uid="{29BB9CE9-E40E-4E8D-8BBC-3E2D0433D6AC}">
      <formula1>Fleet_GM</formula1>
    </dataValidation>
    <dataValidation type="list" allowBlank="1" showInputMessage="1" showErrorMessage="1" sqref="AJ10:AJ39" xr:uid="{794C0214-2F20-466B-8F22-55080BA41838}">
      <formula1>Fleet_Sediment</formula1>
    </dataValidation>
    <dataValidation type="whole" allowBlank="1" showInputMessage="1" showErrorMessage="1" sqref="H10:H39" xr:uid="{04C800F6-7C33-4C72-98FE-388EC98DAAF4}">
      <formula1>0</formula1>
      <formula2>10000</formula2>
    </dataValidation>
    <dataValidation type="list" allowBlank="1" showInputMessage="1" showErrorMessage="1" sqref="G10:G39" xr:uid="{105A52B9-5FAF-451E-8359-CBAD269F8D63}">
      <formula1>Dam_Regulated_NonReg</formula1>
    </dataValidation>
  </dataValidations>
  <hyperlinks>
    <hyperlink ref="B7" location="'3. Water Storage and Management'!A1" display="Top" xr:uid="{4E62A7A6-2557-403A-97E1-D038397BD9C7}"/>
    <hyperlink ref="B3" location="CONTENTS" display="Contents" xr:uid="{4565FB8B-40FD-4ABE-9E18-1F30433B3189}"/>
    <hyperlink ref="X6" location="dam_sed_clean_def" display="dam_sed_clean_def" xr:uid="{BC42A5AE-C52D-4269-A473-5CF3B6920D9B}"/>
    <hyperlink ref="AB6" location="dam_gm_def" display="dam_gm_def" xr:uid="{596E4D75-A630-415F-ACA2-4C58D1485D67}"/>
    <hyperlink ref="AT9" location="Subrates_Table_1" display="Subrates_Table_1" xr:uid="{730A50FA-04BB-4CB7-B60E-426A6A2D4631}"/>
    <hyperlink ref="AV9" location="Subrates_Table_1" display="Subrates_Table_1" xr:uid="{388F06EA-9584-420F-8C98-11A7F2372C3D}"/>
    <hyperlink ref="AU9" location="Subrates_Table_2" display="Subrates_Table_2" xr:uid="{F7775143-A5C4-48FC-9A80-7621404B23BC}"/>
    <hyperlink ref="AW9" location="Subrates_Table_4" display="Subrates_Table_4" xr:uid="{9B6A7DBA-6AD8-4857-8AC6-C80A7ACD76DC}"/>
  </hyperlinks>
  <pageMargins left="0.7" right="0.7" top="0.75" bottom="0.75" header="0.3" footer="0.3"/>
  <pageSetup paperSize="9"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553EE-773B-469F-BFFF-55B31F5A6498}">
  <sheetPr codeName="Sheet51">
    <tabColor theme="9" tint="-0.499984740745262"/>
  </sheetPr>
  <dimension ref="B2:X39"/>
  <sheetViews>
    <sheetView showGridLines="0" zoomScaleNormal="100" zoomScaleSheetLayoutView="100" workbookViewId="0">
      <pane xSplit="4" ySplit="4" topLeftCell="E5" activePane="bottomRight" state="frozen"/>
      <selection pane="topRight" activeCell="E1" sqref="E1"/>
      <selection pane="bottomLeft" activeCell="A5" sqref="A5"/>
      <selection pane="bottomRight"/>
    </sheetView>
  </sheetViews>
  <sheetFormatPr defaultColWidth="9" defaultRowHeight="12"/>
  <cols>
    <col min="1" max="1" width="2" style="494" customWidth="1"/>
    <col min="2" max="2" width="2.5703125" style="494" bestFit="1" customWidth="1"/>
    <col min="3" max="3" width="9.42578125" style="494" customWidth="1"/>
    <col min="4" max="4" width="39.5703125" style="494" customWidth="1"/>
    <col min="5" max="5" width="16.5703125" style="497" customWidth="1"/>
    <col min="6" max="13" width="18.5703125" style="497" customWidth="1"/>
    <col min="14" max="22" width="18.5703125" style="494" customWidth="1"/>
    <col min="23" max="16384" width="9" style="494"/>
  </cols>
  <sheetData>
    <row r="2" spans="2:13" ht="16.350000000000001" customHeight="1">
      <c r="C2" s="495" t="str">
        <f>CONTENTS!B2</f>
        <v>Petroleum and Gas Estimated Rehabilitation Cost Calculator</v>
      </c>
      <c r="D2" s="496"/>
    </row>
    <row r="3" spans="2:13" ht="20.100000000000001" customHeight="1">
      <c r="C3" s="20" t="s">
        <v>305</v>
      </c>
      <c r="D3" s="498" t="s">
        <v>328</v>
      </c>
      <c r="E3" s="494"/>
      <c r="F3" s="494"/>
      <c r="M3" s="494"/>
    </row>
    <row r="4" spans="2:13" ht="20.100000000000001" customHeight="1">
      <c r="C4" s="526" t="s">
        <v>1726</v>
      </c>
      <c r="D4" s="572">
        <f>ERC</f>
        <v>0</v>
      </c>
      <c r="E4" s="494"/>
      <c r="M4" s="494"/>
    </row>
    <row r="5" spans="2:13" ht="18" customHeight="1">
      <c r="B5" s="500"/>
      <c r="C5" s="500"/>
      <c r="H5" s="504"/>
      <c r="I5" s="504"/>
      <c r="J5" s="504"/>
      <c r="K5" s="504"/>
      <c r="L5" s="504"/>
      <c r="M5" s="504"/>
    </row>
    <row r="6" spans="2:13" ht="18" customHeight="1">
      <c r="B6" s="500"/>
      <c r="D6" s="507" t="s">
        <v>1952</v>
      </c>
      <c r="F6" s="668"/>
      <c r="G6" s="669"/>
      <c r="H6" s="670" t="s">
        <v>2057</v>
      </c>
      <c r="I6" s="669"/>
      <c r="J6" s="669"/>
      <c r="K6" s="669"/>
      <c r="L6" s="671"/>
      <c r="M6" s="500"/>
    </row>
    <row r="7" spans="2:13" ht="24">
      <c r="C7" s="509" t="s">
        <v>439</v>
      </c>
      <c r="D7" s="509" t="s">
        <v>1729</v>
      </c>
      <c r="E7" s="509" t="s">
        <v>2058</v>
      </c>
      <c r="F7" s="509" t="s">
        <v>2059</v>
      </c>
      <c r="G7" s="509" t="s">
        <v>97</v>
      </c>
      <c r="H7" s="509" t="s">
        <v>199</v>
      </c>
      <c r="I7" s="509" t="s">
        <v>200</v>
      </c>
      <c r="J7" s="509" t="s">
        <v>201</v>
      </c>
      <c r="K7" s="509" t="s">
        <v>202</v>
      </c>
      <c r="L7" s="509" t="s">
        <v>203</v>
      </c>
    </row>
    <row r="8" spans="2:13" ht="18" customHeight="1">
      <c r="E8" s="672" t="s">
        <v>1763</v>
      </c>
      <c r="F8" s="672"/>
      <c r="G8" s="672" t="s">
        <v>79</v>
      </c>
      <c r="H8" s="672" t="s">
        <v>79</v>
      </c>
      <c r="I8" s="672" t="s">
        <v>79</v>
      </c>
      <c r="J8" s="672" t="s">
        <v>119</v>
      </c>
      <c r="K8" s="672"/>
      <c r="L8" s="672"/>
    </row>
    <row r="9" spans="2:13">
      <c r="B9" s="511">
        <v>1</v>
      </c>
      <c r="C9" s="137"/>
      <c r="D9" s="140"/>
      <c r="E9" s="89"/>
      <c r="F9" s="52"/>
      <c r="G9" s="55"/>
      <c r="H9" s="55"/>
      <c r="I9" s="55"/>
      <c r="J9" s="122"/>
      <c r="K9" s="673">
        <f t="shared" ref="K9:K18" si="0">IF(G9="",PI()*I9^2/4,G9*H9)/10000</f>
        <v>0</v>
      </c>
      <c r="L9" s="673">
        <f t="shared" ref="L9:L18" si="1">IF(ISBLANK(J9),K9,J9)</f>
        <v>0</v>
      </c>
    </row>
    <row r="10" spans="2:13">
      <c r="B10" s="511">
        <f t="shared" ref="B10:B18" si="2">B9+1</f>
        <v>2</v>
      </c>
      <c r="C10" s="137"/>
      <c r="D10" s="140"/>
      <c r="E10" s="89"/>
      <c r="F10" s="52"/>
      <c r="G10" s="55"/>
      <c r="H10" s="55"/>
      <c r="I10" s="55"/>
      <c r="J10" s="122"/>
      <c r="K10" s="673">
        <f t="shared" si="0"/>
        <v>0</v>
      </c>
      <c r="L10" s="673">
        <f t="shared" si="1"/>
        <v>0</v>
      </c>
    </row>
    <row r="11" spans="2:13">
      <c r="B11" s="511">
        <f t="shared" si="2"/>
        <v>3</v>
      </c>
      <c r="C11" s="137"/>
      <c r="D11" s="140"/>
      <c r="E11" s="89"/>
      <c r="F11" s="52"/>
      <c r="G11" s="55"/>
      <c r="H11" s="55"/>
      <c r="I11" s="55"/>
      <c r="J11" s="122"/>
      <c r="K11" s="673">
        <f t="shared" si="0"/>
        <v>0</v>
      </c>
      <c r="L11" s="673">
        <f t="shared" si="1"/>
        <v>0</v>
      </c>
    </row>
    <row r="12" spans="2:13">
      <c r="B12" s="511">
        <f t="shared" si="2"/>
        <v>4</v>
      </c>
      <c r="C12" s="137"/>
      <c r="D12" s="140"/>
      <c r="E12" s="89"/>
      <c r="F12" s="52"/>
      <c r="G12" s="55"/>
      <c r="H12" s="55"/>
      <c r="I12" s="55"/>
      <c r="J12" s="122"/>
      <c r="K12" s="673">
        <f t="shared" si="0"/>
        <v>0</v>
      </c>
      <c r="L12" s="673">
        <f t="shared" si="1"/>
        <v>0</v>
      </c>
    </row>
    <row r="13" spans="2:13">
      <c r="B13" s="511">
        <f t="shared" si="2"/>
        <v>5</v>
      </c>
      <c r="C13" s="137"/>
      <c r="D13" s="140"/>
      <c r="E13" s="89"/>
      <c r="F13" s="52"/>
      <c r="G13" s="55"/>
      <c r="H13" s="55"/>
      <c r="I13" s="55"/>
      <c r="J13" s="122"/>
      <c r="K13" s="673">
        <f t="shared" si="0"/>
        <v>0</v>
      </c>
      <c r="L13" s="673">
        <f t="shared" si="1"/>
        <v>0</v>
      </c>
    </row>
    <row r="14" spans="2:13">
      <c r="B14" s="511">
        <f t="shared" si="2"/>
        <v>6</v>
      </c>
      <c r="C14" s="137"/>
      <c r="D14" s="140"/>
      <c r="E14" s="89"/>
      <c r="F14" s="52"/>
      <c r="G14" s="55"/>
      <c r="H14" s="55"/>
      <c r="I14" s="55"/>
      <c r="J14" s="122"/>
      <c r="K14" s="673">
        <f t="shared" si="0"/>
        <v>0</v>
      </c>
      <c r="L14" s="673">
        <f t="shared" si="1"/>
        <v>0</v>
      </c>
    </row>
    <row r="15" spans="2:13">
      <c r="B15" s="511">
        <f t="shared" si="2"/>
        <v>7</v>
      </c>
      <c r="C15" s="137"/>
      <c r="D15" s="140"/>
      <c r="E15" s="89"/>
      <c r="F15" s="52"/>
      <c r="G15" s="55"/>
      <c r="H15" s="55"/>
      <c r="I15" s="55"/>
      <c r="J15" s="122"/>
      <c r="K15" s="673">
        <f t="shared" si="0"/>
        <v>0</v>
      </c>
      <c r="L15" s="673">
        <f t="shared" si="1"/>
        <v>0</v>
      </c>
    </row>
    <row r="16" spans="2:13">
      <c r="B16" s="511">
        <f t="shared" si="2"/>
        <v>8</v>
      </c>
      <c r="C16" s="137"/>
      <c r="D16" s="140"/>
      <c r="E16" s="89"/>
      <c r="F16" s="52"/>
      <c r="G16" s="55"/>
      <c r="H16" s="55"/>
      <c r="I16" s="55"/>
      <c r="J16" s="122"/>
      <c r="K16" s="673">
        <f t="shared" si="0"/>
        <v>0</v>
      </c>
      <c r="L16" s="673">
        <f t="shared" si="1"/>
        <v>0</v>
      </c>
    </row>
    <row r="17" spans="2:24">
      <c r="B17" s="511">
        <f t="shared" si="2"/>
        <v>9</v>
      </c>
      <c r="C17" s="137"/>
      <c r="D17" s="140"/>
      <c r="E17" s="89"/>
      <c r="F17" s="52"/>
      <c r="G17" s="55"/>
      <c r="H17" s="55"/>
      <c r="I17" s="55"/>
      <c r="J17" s="122"/>
      <c r="K17" s="673">
        <f t="shared" si="0"/>
        <v>0</v>
      </c>
      <c r="L17" s="673">
        <f t="shared" si="1"/>
        <v>0</v>
      </c>
    </row>
    <row r="18" spans="2:24">
      <c r="B18" s="511">
        <f t="shared" si="2"/>
        <v>10</v>
      </c>
      <c r="C18" s="137"/>
      <c r="D18" s="140"/>
      <c r="E18" s="89"/>
      <c r="F18" s="52"/>
      <c r="G18" s="55"/>
      <c r="H18" s="55"/>
      <c r="I18" s="55"/>
      <c r="J18" s="122"/>
      <c r="K18" s="673">
        <f t="shared" si="0"/>
        <v>0</v>
      </c>
      <c r="L18" s="673">
        <f t="shared" si="1"/>
        <v>0</v>
      </c>
    </row>
    <row r="19" spans="2:24" ht="18" customHeight="1">
      <c r="F19" s="494"/>
      <c r="G19" s="494"/>
      <c r="H19" s="494"/>
      <c r="I19" s="494"/>
      <c r="J19" s="494"/>
      <c r="K19" s="674"/>
      <c r="L19" s="674"/>
    </row>
    <row r="20" spans="2:24" ht="18" customHeight="1">
      <c r="B20" s="511"/>
      <c r="C20" s="511"/>
      <c r="D20" s="513"/>
      <c r="E20" s="493">
        <f>SUM(E8:E19)</f>
        <v>0</v>
      </c>
      <c r="F20" s="493">
        <f>SUM(F8:F19)</f>
        <v>0</v>
      </c>
      <c r="G20" s="515"/>
      <c r="H20" s="515"/>
      <c r="I20" s="515"/>
      <c r="J20" s="675">
        <f>SUM(J8:J19)</f>
        <v>0</v>
      </c>
      <c r="K20" s="675">
        <f>SUM(K8:K19)</f>
        <v>0</v>
      </c>
      <c r="L20" s="675">
        <f>SUM(L8:L19)</f>
        <v>0</v>
      </c>
    </row>
    <row r="21" spans="2:24" ht="18" customHeight="1">
      <c r="G21" s="515"/>
      <c r="H21" s="515"/>
      <c r="I21" s="515"/>
      <c r="J21" s="515"/>
    </row>
    <row r="22" spans="2:24" ht="18" customHeight="1">
      <c r="E22" s="494"/>
      <c r="F22" s="494"/>
      <c r="G22" s="494"/>
      <c r="H22" s="494"/>
      <c r="I22" s="494"/>
      <c r="J22" s="494"/>
      <c r="K22" s="515"/>
      <c r="L22" s="515"/>
      <c r="M22" s="515"/>
      <c r="N22" s="515"/>
      <c r="O22" s="515"/>
      <c r="P22" s="515"/>
      <c r="Q22" s="515"/>
      <c r="R22" s="515"/>
      <c r="S22" s="515"/>
      <c r="T22" s="515"/>
      <c r="U22" s="515"/>
      <c r="V22" s="515"/>
      <c r="W22" s="515"/>
      <c r="X22" s="515"/>
    </row>
    <row r="23" spans="2:24" ht="18" customHeight="1">
      <c r="B23" s="515"/>
      <c r="C23" s="515"/>
      <c r="D23" s="515"/>
      <c r="E23" s="515"/>
      <c r="F23" s="515"/>
      <c r="G23" s="515"/>
      <c r="H23" s="515"/>
      <c r="I23" s="515"/>
      <c r="J23" s="515"/>
      <c r="K23" s="515"/>
      <c r="L23" s="515"/>
      <c r="M23" s="515"/>
      <c r="N23" s="515"/>
      <c r="O23" s="515"/>
      <c r="P23" s="515"/>
      <c r="Q23" s="515"/>
      <c r="R23" s="515"/>
      <c r="S23" s="515"/>
      <c r="T23" s="515"/>
      <c r="U23" s="515"/>
      <c r="V23" s="515"/>
      <c r="W23" s="515"/>
      <c r="X23" s="515"/>
    </row>
    <row r="24" spans="2:24" ht="18" customHeight="1">
      <c r="C24" s="20" t="s">
        <v>77</v>
      </c>
      <c r="D24" s="507" t="s">
        <v>2060</v>
      </c>
      <c r="E24" s="494"/>
      <c r="F24" s="494"/>
      <c r="G24" s="515"/>
      <c r="H24" s="515"/>
      <c r="I24" s="494"/>
      <c r="K24" s="515"/>
      <c r="L24" s="515"/>
      <c r="M24" s="515"/>
      <c r="N24" s="515"/>
      <c r="O24" s="515"/>
      <c r="P24" s="515"/>
      <c r="Q24" s="515"/>
      <c r="R24" s="515"/>
      <c r="S24" s="515"/>
      <c r="T24" s="515"/>
      <c r="U24" s="515"/>
      <c r="V24" s="515"/>
      <c r="W24" s="515"/>
      <c r="X24" s="515"/>
    </row>
    <row r="25" spans="2:24" ht="24">
      <c r="C25" s="509" t="s">
        <v>439</v>
      </c>
      <c r="D25" s="509" t="s">
        <v>1729</v>
      </c>
      <c r="E25" s="509" t="s">
        <v>2061</v>
      </c>
      <c r="F25" s="676" t="s">
        <v>2062</v>
      </c>
      <c r="G25" s="555"/>
      <c r="H25" s="555"/>
      <c r="I25" s="555"/>
      <c r="J25" s="677" t="str">
        <f>Lists!D283</f>
        <v>Asbestos (ACM)</v>
      </c>
      <c r="K25" s="677" t="str">
        <f>Lists!E283</f>
        <v>Asbestos in soil</v>
      </c>
      <c r="L25" s="677" t="str">
        <f>Lists!F283</f>
        <v>Low Level Petroleum Hydrocarbons in soil</v>
      </c>
      <c r="M25" s="677" t="str">
        <f>Lists!G283</f>
        <v>High Level Petroleum Hydrocarbons in soil</v>
      </c>
      <c r="N25" s="677" t="str">
        <f>Lists!H283</f>
        <v>Low level inorganics in soil</v>
      </c>
      <c r="O25" s="677" t="str">
        <f>Lists!I283</f>
        <v>High level inorganics in soil</v>
      </c>
      <c r="P25" s="677" t="str">
        <f>Lists!J283</f>
        <v>General Waste</v>
      </c>
      <c r="Q25" s="677" t="str">
        <f>Lists!K283</f>
        <v>Construction / building waste</v>
      </c>
      <c r="R25" s="677" t="str">
        <f>Lists!L283</f>
        <v>Regulated waste (e.g. tires and belts)</v>
      </c>
      <c r="S25" s="677" t="str">
        <f>Lists!M283</f>
        <v>Sludge</v>
      </c>
      <c r="T25" s="678">
        <v>1</v>
      </c>
      <c r="U25" s="515"/>
      <c r="V25" s="515"/>
      <c r="W25" s="515"/>
      <c r="X25" s="515"/>
    </row>
    <row r="26" spans="2:24" ht="18" customHeight="1">
      <c r="C26" s="530"/>
      <c r="D26" s="530"/>
      <c r="E26" s="53" t="s">
        <v>19</v>
      </c>
      <c r="F26" s="552" t="s">
        <v>1777</v>
      </c>
      <c r="G26" s="93"/>
      <c r="H26" s="93"/>
      <c r="I26" s="93"/>
      <c r="J26" s="679"/>
      <c r="K26" s="679"/>
      <c r="L26" s="679"/>
      <c r="M26" s="679"/>
      <c r="N26" s="679"/>
      <c r="O26" s="679"/>
      <c r="P26" s="679"/>
      <c r="Q26" s="679"/>
      <c r="R26" s="679"/>
      <c r="S26" s="679"/>
      <c r="T26" s="678">
        <f>T25+1</f>
        <v>2</v>
      </c>
      <c r="U26" s="515"/>
      <c r="V26" s="515"/>
      <c r="W26" s="515"/>
      <c r="X26" s="515"/>
    </row>
    <row r="27" spans="2:24" s="496" customFormat="1" ht="12.75">
      <c r="B27" s="526">
        <v>1</v>
      </c>
      <c r="C27" s="137"/>
      <c r="D27" s="140"/>
      <c r="E27" s="55"/>
      <c r="F27" s="684" t="s">
        <v>39</v>
      </c>
      <c r="G27" s="567"/>
      <c r="H27" s="567"/>
      <c r="I27" s="567"/>
      <c r="J27" s="678">
        <f>IF($F27=J$25,$E27,"")</f>
        <v>0</v>
      </c>
      <c r="K27" s="678" t="str">
        <f t="shared" ref="K27:S36" si="3">IF($F27=K$25,$E27,"")</f>
        <v/>
      </c>
      <c r="L27" s="678" t="str">
        <f t="shared" si="3"/>
        <v/>
      </c>
      <c r="M27" s="678" t="str">
        <f t="shared" si="3"/>
        <v/>
      </c>
      <c r="N27" s="678" t="str">
        <f t="shared" si="3"/>
        <v/>
      </c>
      <c r="O27" s="678" t="str">
        <f t="shared" si="3"/>
        <v/>
      </c>
      <c r="P27" s="678" t="str">
        <f t="shared" si="3"/>
        <v/>
      </c>
      <c r="Q27" s="678" t="str">
        <f t="shared" si="3"/>
        <v/>
      </c>
      <c r="R27" s="678" t="str">
        <f t="shared" si="3"/>
        <v/>
      </c>
      <c r="S27" s="678" t="str">
        <f t="shared" si="3"/>
        <v/>
      </c>
      <c r="T27" s="678">
        <f t="shared" ref="T27:T38" si="4">T26+1</f>
        <v>3</v>
      </c>
      <c r="U27" s="680"/>
      <c r="V27" s="680"/>
      <c r="W27" s="680"/>
      <c r="X27" s="680"/>
    </row>
    <row r="28" spans="2:24" s="496" customFormat="1" ht="12.75">
      <c r="B28" s="526">
        <v>2</v>
      </c>
      <c r="C28" s="137"/>
      <c r="D28" s="140"/>
      <c r="E28" s="55"/>
      <c r="F28" s="684" t="s">
        <v>42</v>
      </c>
      <c r="G28" s="567"/>
      <c r="H28" s="567"/>
      <c r="I28" s="567"/>
      <c r="J28" s="678" t="str">
        <f t="shared" ref="J28:J36" si="5">IF($F28=J$25,$E28,"")</f>
        <v/>
      </c>
      <c r="K28" s="678">
        <f t="shared" si="3"/>
        <v>0</v>
      </c>
      <c r="L28" s="678" t="str">
        <f t="shared" si="3"/>
        <v/>
      </c>
      <c r="M28" s="678" t="str">
        <f t="shared" si="3"/>
        <v/>
      </c>
      <c r="N28" s="678" t="str">
        <f t="shared" si="3"/>
        <v/>
      </c>
      <c r="O28" s="678" t="str">
        <f t="shared" si="3"/>
        <v/>
      </c>
      <c r="P28" s="678" t="str">
        <f t="shared" si="3"/>
        <v/>
      </c>
      <c r="Q28" s="678" t="str">
        <f t="shared" si="3"/>
        <v/>
      </c>
      <c r="R28" s="678" t="str">
        <f t="shared" si="3"/>
        <v/>
      </c>
      <c r="S28" s="678" t="str">
        <f t="shared" si="3"/>
        <v/>
      </c>
      <c r="T28" s="678">
        <f t="shared" si="4"/>
        <v>4</v>
      </c>
      <c r="U28" s="680"/>
      <c r="V28" s="680"/>
      <c r="W28" s="680"/>
      <c r="X28" s="680"/>
    </row>
    <row r="29" spans="2:24" s="496" customFormat="1" ht="12.75">
      <c r="B29" s="526">
        <v>3</v>
      </c>
      <c r="C29" s="137"/>
      <c r="D29" s="140"/>
      <c r="E29" s="55"/>
      <c r="F29" s="684" t="s">
        <v>33</v>
      </c>
      <c r="G29" s="567"/>
      <c r="H29" s="567"/>
      <c r="I29" s="567"/>
      <c r="J29" s="678" t="str">
        <f t="shared" si="5"/>
        <v/>
      </c>
      <c r="K29" s="678" t="str">
        <f t="shared" si="3"/>
        <v/>
      </c>
      <c r="L29" s="678">
        <f t="shared" si="3"/>
        <v>0</v>
      </c>
      <c r="M29" s="678" t="str">
        <f t="shared" si="3"/>
        <v/>
      </c>
      <c r="N29" s="678" t="str">
        <f t="shared" si="3"/>
        <v/>
      </c>
      <c r="O29" s="678" t="str">
        <f t="shared" si="3"/>
        <v/>
      </c>
      <c r="P29" s="678" t="str">
        <f t="shared" si="3"/>
        <v/>
      </c>
      <c r="Q29" s="678" t="str">
        <f t="shared" si="3"/>
        <v/>
      </c>
      <c r="R29" s="678" t="str">
        <f t="shared" si="3"/>
        <v/>
      </c>
      <c r="S29" s="678" t="str">
        <f t="shared" si="3"/>
        <v/>
      </c>
      <c r="T29" s="678">
        <f t="shared" si="4"/>
        <v>5</v>
      </c>
    </row>
    <row r="30" spans="2:24" s="496" customFormat="1" ht="12.75">
      <c r="B30" s="526">
        <v>4</v>
      </c>
      <c r="C30" s="137"/>
      <c r="D30" s="140"/>
      <c r="E30" s="55"/>
      <c r="F30" s="684" t="s">
        <v>36</v>
      </c>
      <c r="G30" s="567"/>
      <c r="H30" s="567"/>
      <c r="I30" s="567"/>
      <c r="J30" s="678" t="str">
        <f t="shared" si="5"/>
        <v/>
      </c>
      <c r="K30" s="678" t="str">
        <f t="shared" si="3"/>
        <v/>
      </c>
      <c r="L30" s="678" t="str">
        <f t="shared" si="3"/>
        <v/>
      </c>
      <c r="M30" s="678">
        <f t="shared" si="3"/>
        <v>0</v>
      </c>
      <c r="N30" s="678" t="str">
        <f t="shared" si="3"/>
        <v/>
      </c>
      <c r="O30" s="678" t="str">
        <f t="shared" si="3"/>
        <v/>
      </c>
      <c r="P30" s="678" t="str">
        <f t="shared" si="3"/>
        <v/>
      </c>
      <c r="Q30" s="678" t="str">
        <f t="shared" si="3"/>
        <v/>
      </c>
      <c r="R30" s="678" t="str">
        <f t="shared" si="3"/>
        <v/>
      </c>
      <c r="S30" s="678" t="str">
        <f t="shared" si="3"/>
        <v/>
      </c>
      <c r="T30" s="678">
        <f t="shared" si="4"/>
        <v>6</v>
      </c>
    </row>
    <row r="31" spans="2:24" s="496" customFormat="1" ht="12.75">
      <c r="B31" s="526">
        <v>5</v>
      </c>
      <c r="C31" s="137"/>
      <c r="D31" s="140"/>
      <c r="E31" s="55"/>
      <c r="F31" s="684" t="s">
        <v>45</v>
      </c>
      <c r="G31" s="567"/>
      <c r="H31" s="567"/>
      <c r="I31" s="567"/>
      <c r="J31" s="678" t="str">
        <f t="shared" si="5"/>
        <v/>
      </c>
      <c r="K31" s="678" t="str">
        <f t="shared" si="3"/>
        <v/>
      </c>
      <c r="L31" s="678" t="str">
        <f t="shared" si="3"/>
        <v/>
      </c>
      <c r="M31" s="678" t="str">
        <f t="shared" si="3"/>
        <v/>
      </c>
      <c r="N31" s="678">
        <f t="shared" si="3"/>
        <v>0</v>
      </c>
      <c r="O31" s="678" t="str">
        <f t="shared" si="3"/>
        <v/>
      </c>
      <c r="P31" s="678" t="str">
        <f t="shared" si="3"/>
        <v/>
      </c>
      <c r="Q31" s="678" t="str">
        <f t="shared" si="3"/>
        <v/>
      </c>
      <c r="R31" s="678" t="str">
        <f t="shared" si="3"/>
        <v/>
      </c>
      <c r="S31" s="678" t="str">
        <f t="shared" si="3"/>
        <v/>
      </c>
      <c r="T31" s="678">
        <f t="shared" si="4"/>
        <v>7</v>
      </c>
    </row>
    <row r="32" spans="2:24" s="496" customFormat="1" ht="12.75">
      <c r="B32" s="526">
        <v>6</v>
      </c>
      <c r="C32" s="137"/>
      <c r="D32" s="140"/>
      <c r="E32" s="55"/>
      <c r="F32" s="684" t="s">
        <v>48</v>
      </c>
      <c r="G32" s="567"/>
      <c r="H32" s="567"/>
      <c r="I32" s="567"/>
      <c r="J32" s="678" t="str">
        <f t="shared" si="5"/>
        <v/>
      </c>
      <c r="K32" s="678" t="str">
        <f t="shared" si="3"/>
        <v/>
      </c>
      <c r="L32" s="678" t="str">
        <f t="shared" si="3"/>
        <v/>
      </c>
      <c r="M32" s="678" t="str">
        <f t="shared" si="3"/>
        <v/>
      </c>
      <c r="N32" s="678" t="str">
        <f t="shared" si="3"/>
        <v/>
      </c>
      <c r="O32" s="678">
        <f t="shared" si="3"/>
        <v>0</v>
      </c>
      <c r="P32" s="678" t="str">
        <f t="shared" si="3"/>
        <v/>
      </c>
      <c r="Q32" s="678" t="str">
        <f t="shared" si="3"/>
        <v/>
      </c>
      <c r="R32" s="678" t="str">
        <f t="shared" si="3"/>
        <v/>
      </c>
      <c r="S32" s="678" t="str">
        <f t="shared" si="3"/>
        <v/>
      </c>
      <c r="T32" s="678">
        <f t="shared" si="4"/>
        <v>8</v>
      </c>
    </row>
    <row r="33" spans="2:20" s="496" customFormat="1" ht="12.75">
      <c r="B33" s="526">
        <v>7</v>
      </c>
      <c r="C33" s="137"/>
      <c r="D33" s="140"/>
      <c r="E33" s="55"/>
      <c r="F33" s="684" t="s">
        <v>51</v>
      </c>
      <c r="G33" s="567"/>
      <c r="H33" s="567"/>
      <c r="I33" s="567"/>
      <c r="J33" s="678" t="str">
        <f t="shared" si="5"/>
        <v/>
      </c>
      <c r="K33" s="678" t="str">
        <f t="shared" si="3"/>
        <v/>
      </c>
      <c r="L33" s="678" t="str">
        <f t="shared" si="3"/>
        <v/>
      </c>
      <c r="M33" s="678" t="str">
        <f t="shared" si="3"/>
        <v/>
      </c>
      <c r="N33" s="678" t="str">
        <f t="shared" si="3"/>
        <v/>
      </c>
      <c r="O33" s="678" t="str">
        <f t="shared" si="3"/>
        <v/>
      </c>
      <c r="P33" s="678">
        <f t="shared" si="3"/>
        <v>0</v>
      </c>
      <c r="Q33" s="678" t="str">
        <f t="shared" si="3"/>
        <v/>
      </c>
      <c r="R33" s="678" t="str">
        <f t="shared" si="3"/>
        <v/>
      </c>
      <c r="S33" s="678" t="str">
        <f t="shared" si="3"/>
        <v/>
      </c>
      <c r="T33" s="678">
        <f t="shared" si="4"/>
        <v>9</v>
      </c>
    </row>
    <row r="34" spans="2:20" s="496" customFormat="1" ht="12.75">
      <c r="B34" s="526">
        <v>8</v>
      </c>
      <c r="C34" s="137"/>
      <c r="D34" s="140"/>
      <c r="E34" s="55"/>
      <c r="F34" s="684" t="s">
        <v>54</v>
      </c>
      <c r="G34" s="567"/>
      <c r="H34" s="567"/>
      <c r="I34" s="567"/>
      <c r="J34" s="678" t="str">
        <f t="shared" si="5"/>
        <v/>
      </c>
      <c r="K34" s="678" t="str">
        <f t="shared" si="3"/>
        <v/>
      </c>
      <c r="L34" s="678" t="str">
        <f t="shared" si="3"/>
        <v/>
      </c>
      <c r="M34" s="678" t="str">
        <f t="shared" si="3"/>
        <v/>
      </c>
      <c r="N34" s="678" t="str">
        <f t="shared" si="3"/>
        <v/>
      </c>
      <c r="O34" s="678" t="str">
        <f t="shared" si="3"/>
        <v/>
      </c>
      <c r="P34" s="678" t="str">
        <f t="shared" si="3"/>
        <v/>
      </c>
      <c r="Q34" s="678">
        <f t="shared" si="3"/>
        <v>0</v>
      </c>
      <c r="R34" s="678" t="str">
        <f t="shared" si="3"/>
        <v/>
      </c>
      <c r="S34" s="678" t="str">
        <f t="shared" si="3"/>
        <v/>
      </c>
      <c r="T34" s="678">
        <f t="shared" si="4"/>
        <v>10</v>
      </c>
    </row>
    <row r="35" spans="2:20" s="496" customFormat="1" ht="12.75">
      <c r="B35" s="526">
        <v>9</v>
      </c>
      <c r="C35" s="137"/>
      <c r="D35" s="140"/>
      <c r="E35" s="55"/>
      <c r="F35" s="684" t="s">
        <v>57</v>
      </c>
      <c r="G35" s="567"/>
      <c r="H35" s="567"/>
      <c r="I35" s="567"/>
      <c r="J35" s="678" t="str">
        <f t="shared" si="5"/>
        <v/>
      </c>
      <c r="K35" s="678" t="str">
        <f t="shared" si="3"/>
        <v/>
      </c>
      <c r="L35" s="678" t="str">
        <f t="shared" si="3"/>
        <v/>
      </c>
      <c r="M35" s="678" t="str">
        <f t="shared" si="3"/>
        <v/>
      </c>
      <c r="N35" s="678" t="str">
        <f t="shared" si="3"/>
        <v/>
      </c>
      <c r="O35" s="678" t="str">
        <f t="shared" si="3"/>
        <v/>
      </c>
      <c r="P35" s="678" t="str">
        <f t="shared" si="3"/>
        <v/>
      </c>
      <c r="Q35" s="678" t="str">
        <f t="shared" si="3"/>
        <v/>
      </c>
      <c r="R35" s="678">
        <f t="shared" si="3"/>
        <v>0</v>
      </c>
      <c r="S35" s="678" t="str">
        <f t="shared" si="3"/>
        <v/>
      </c>
      <c r="T35" s="678">
        <f t="shared" si="4"/>
        <v>11</v>
      </c>
    </row>
    <row r="36" spans="2:20" s="496" customFormat="1" ht="12.75">
      <c r="B36" s="526">
        <v>10</v>
      </c>
      <c r="C36" s="137"/>
      <c r="D36" s="140"/>
      <c r="E36" s="55"/>
      <c r="F36" s="684" t="s">
        <v>66</v>
      </c>
      <c r="G36" s="567"/>
      <c r="H36" s="567"/>
      <c r="I36" s="567"/>
      <c r="J36" s="678" t="str">
        <f t="shared" si="5"/>
        <v/>
      </c>
      <c r="K36" s="678" t="str">
        <f t="shared" si="3"/>
        <v/>
      </c>
      <c r="L36" s="678" t="str">
        <f t="shared" si="3"/>
        <v/>
      </c>
      <c r="M36" s="678" t="str">
        <f t="shared" si="3"/>
        <v/>
      </c>
      <c r="N36" s="678" t="str">
        <f t="shared" si="3"/>
        <v/>
      </c>
      <c r="O36" s="678" t="str">
        <f t="shared" si="3"/>
        <v/>
      </c>
      <c r="P36" s="678" t="str">
        <f t="shared" si="3"/>
        <v/>
      </c>
      <c r="Q36" s="678" t="str">
        <f t="shared" si="3"/>
        <v/>
      </c>
      <c r="R36" s="678" t="str">
        <f t="shared" si="3"/>
        <v/>
      </c>
      <c r="S36" s="678">
        <f t="shared" si="3"/>
        <v>0</v>
      </c>
      <c r="T36" s="678">
        <f t="shared" si="4"/>
        <v>12</v>
      </c>
    </row>
    <row r="37" spans="2:20" ht="12.75">
      <c r="G37" s="515"/>
      <c r="H37" s="515"/>
      <c r="I37" s="494"/>
      <c r="J37" s="679"/>
      <c r="K37" s="679"/>
      <c r="L37" s="679"/>
      <c r="M37" s="679"/>
      <c r="N37" s="573"/>
      <c r="O37" s="573"/>
      <c r="P37" s="573"/>
      <c r="Q37" s="573"/>
      <c r="R37" s="573"/>
      <c r="S37" s="573"/>
      <c r="T37" s="678">
        <f t="shared" si="4"/>
        <v>13</v>
      </c>
    </row>
    <row r="38" spans="2:20" ht="16.350000000000001" customHeight="1">
      <c r="E38" s="681">
        <f>SUM(E26:E37)</f>
        <v>0</v>
      </c>
      <c r="F38" s="682" t="s">
        <v>19</v>
      </c>
      <c r="I38" s="494"/>
      <c r="J38" s="683">
        <f>SUM(J26:J37)</f>
        <v>0</v>
      </c>
      <c r="K38" s="683">
        <f t="shared" ref="K38:O38" si="6">SUM(K26:K37)</f>
        <v>0</v>
      </c>
      <c r="L38" s="683">
        <f t="shared" si="6"/>
        <v>0</v>
      </c>
      <c r="M38" s="683">
        <f t="shared" si="6"/>
        <v>0</v>
      </c>
      <c r="N38" s="683">
        <f t="shared" si="6"/>
        <v>0</v>
      </c>
      <c r="O38" s="683">
        <f t="shared" si="6"/>
        <v>0</v>
      </c>
      <c r="P38" s="683">
        <f t="shared" ref="P38:R38" si="7">SUM(P26:P37)</f>
        <v>0</v>
      </c>
      <c r="Q38" s="683">
        <f t="shared" si="7"/>
        <v>0</v>
      </c>
      <c r="R38" s="683">
        <f t="shared" si="7"/>
        <v>0</v>
      </c>
      <c r="S38" s="683">
        <f t="shared" ref="S38" si="8">SUM(S26:S37)</f>
        <v>0</v>
      </c>
      <c r="T38" s="678">
        <f t="shared" si="4"/>
        <v>14</v>
      </c>
    </row>
    <row r="39" spans="2:20" ht="17.100000000000001" customHeight="1">
      <c r="I39" s="494"/>
      <c r="J39" s="494"/>
      <c r="K39" s="494"/>
      <c r="L39" s="494"/>
      <c r="M39" s="494"/>
    </row>
  </sheetData>
  <sheetProtection algorithmName="SHA-512" hashValue="en4IcuDA1Ckgo04yzqgRFf4TVQLrViSKKUmzBgM7vvG1EtKtK4ujpE94vrzrJCFrnMkQitZoVFfAIcin+FhkSA==" saltValue="WsNHpKV5Ow1c65W0A7u58Q==" spinCount="100000" sheet="1" objects="1" scenarios="1" autoFilter="0"/>
  <dataValidations count="3">
    <dataValidation type="list" allowBlank="1" showInputMessage="1" showErrorMessage="1" sqref="F27:I27 F28:F36" xr:uid="{39E828EE-756D-44B9-AF3F-1D18CFD545B0}">
      <formula1>Contaminants</formula1>
    </dataValidation>
    <dataValidation allowBlank="1" showInputMessage="1" showErrorMessage="1" prompt="Supply third-party quotes" sqref="L7" xr:uid="{35ABC984-1025-4DA3-9EAA-8A86CF252B41}"/>
    <dataValidation type="whole" operator="greaterThan" allowBlank="1" showInputMessage="1" showErrorMessage="1" sqref="E9:E18" xr:uid="{63389A98-9776-40F0-A941-B726C944D1D4}">
      <formula1>0</formula1>
    </dataValidation>
  </dataValidations>
  <hyperlinks>
    <hyperlink ref="C3" location="CONTENTS" display="Contents" xr:uid="{D99B17B6-5A86-4E28-9CE2-51BAAAAAED13}"/>
    <hyperlink ref="C24" location="Top_InvSheet" display="Top" xr:uid="{7A10FCF3-092A-4650-BF5B-2DE87C8D4431}"/>
  </hyperlink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D9B84-9C73-4F15-97ED-DE644A380776}">
  <sheetPr codeName="Sheet6"/>
  <dimension ref="A1:C38"/>
  <sheetViews>
    <sheetView showGridLines="0" zoomScaleNormal="100" workbookViewId="0">
      <pane ySplit="3" topLeftCell="A4" activePane="bottomLeft" state="frozen"/>
      <selection pane="bottomLeft"/>
    </sheetView>
  </sheetViews>
  <sheetFormatPr defaultColWidth="9.28515625" defaultRowHeight="12.75"/>
  <cols>
    <col min="2" max="2" width="51.7109375" customWidth="1"/>
  </cols>
  <sheetData>
    <row r="1" spans="1:3" ht="10.35" customHeight="1">
      <c r="B1" s="208"/>
    </row>
    <row r="2" spans="1:3" ht="16.350000000000001" customHeight="1">
      <c r="B2" s="209" t="s">
        <v>310</v>
      </c>
    </row>
    <row r="3" spans="1:3" ht="20.100000000000001" customHeight="1">
      <c r="B3" s="210" t="s">
        <v>311</v>
      </c>
    </row>
    <row r="4" spans="1:3" ht="7.15" customHeight="1"/>
    <row r="5" spans="1:3">
      <c r="B5" s="211" t="s">
        <v>312</v>
      </c>
    </row>
    <row r="6" spans="1:3" ht="18" customHeight="1">
      <c r="A6" s="212"/>
      <c r="B6" s="109" t="s">
        <v>306</v>
      </c>
    </row>
    <row r="7" spans="1:3" ht="18" customHeight="1">
      <c r="A7" s="213"/>
      <c r="B7" s="109" t="s">
        <v>313</v>
      </c>
    </row>
    <row r="8" spans="1:3" ht="18" customHeight="1">
      <c r="A8" s="212"/>
      <c r="B8" s="109" t="s">
        <v>314</v>
      </c>
      <c r="C8" s="21"/>
    </row>
    <row r="9" spans="1:3" ht="18" customHeight="1">
      <c r="A9" s="212"/>
      <c r="B9" s="109" t="s">
        <v>315</v>
      </c>
      <c r="C9" s="21"/>
    </row>
    <row r="10" spans="1:3" ht="18" customHeight="1">
      <c r="A10" s="212"/>
      <c r="B10" s="109" t="s">
        <v>316</v>
      </c>
    </row>
    <row r="11" spans="1:3" ht="18" customHeight="1">
      <c r="A11" s="212"/>
      <c r="B11" s="109" t="s">
        <v>317</v>
      </c>
    </row>
    <row r="12" spans="1:3" ht="18" customHeight="1">
      <c r="A12" s="212"/>
      <c r="B12" s="109" t="s">
        <v>318</v>
      </c>
    </row>
    <row r="13" spans="1:3" ht="18" customHeight="1">
      <c r="A13" s="212"/>
      <c r="B13" s="109" t="s">
        <v>319</v>
      </c>
    </row>
    <row r="14" spans="1:3" ht="18" customHeight="1">
      <c r="A14" s="212"/>
      <c r="B14" s="109" t="s">
        <v>320</v>
      </c>
    </row>
    <row r="15" spans="1:3" ht="18" customHeight="1">
      <c r="A15" s="212"/>
      <c r="B15" s="109" t="s">
        <v>321</v>
      </c>
    </row>
    <row r="16" spans="1:3" ht="18" customHeight="1">
      <c r="A16" s="212"/>
      <c r="B16" s="109" t="s">
        <v>322</v>
      </c>
    </row>
    <row r="17" spans="1:3" ht="18" customHeight="1">
      <c r="A17" s="212"/>
      <c r="B17" s="109" t="s">
        <v>323</v>
      </c>
    </row>
    <row r="18" spans="1:3" ht="18" customHeight="1">
      <c r="A18" s="212"/>
      <c r="B18" s="109" t="s">
        <v>324</v>
      </c>
    </row>
    <row r="19" spans="1:3" ht="18" customHeight="1">
      <c r="A19" s="212"/>
      <c r="B19" s="109" t="s">
        <v>325</v>
      </c>
    </row>
    <row r="20" spans="1:3" ht="18" customHeight="1">
      <c r="A20" s="212"/>
      <c r="B20" s="109" t="s">
        <v>326</v>
      </c>
    </row>
    <row r="21" spans="1:3" ht="18" customHeight="1">
      <c r="A21" s="212"/>
      <c r="B21" s="109" t="s">
        <v>327</v>
      </c>
    </row>
    <row r="22" spans="1:3" ht="18" customHeight="1">
      <c r="A22" s="212"/>
      <c r="B22" s="109" t="s">
        <v>328</v>
      </c>
    </row>
    <row r="23" spans="1:3" ht="18" customHeight="1">
      <c r="A23" s="212"/>
      <c r="B23" s="109" t="s">
        <v>329</v>
      </c>
    </row>
    <row r="24" spans="1:3" ht="18" customHeight="1">
      <c r="A24" s="212"/>
      <c r="B24" s="109" t="s">
        <v>330</v>
      </c>
    </row>
    <row r="25" spans="1:3" ht="18" customHeight="1">
      <c r="A25" s="212"/>
      <c r="B25" s="109" t="s">
        <v>331</v>
      </c>
    </row>
    <row r="27" spans="1:3">
      <c r="B27" s="214" t="s">
        <v>332</v>
      </c>
    </row>
    <row r="28" spans="1:3">
      <c r="B28" s="177" t="s">
        <v>333</v>
      </c>
    </row>
    <row r="30" spans="1:3" ht="13.5" thickBot="1">
      <c r="B30" s="215" t="s">
        <v>334</v>
      </c>
      <c r="C30" s="216"/>
    </row>
    <row r="31" spans="1:3" ht="13.5" thickBot="1">
      <c r="B31" s="217" t="s">
        <v>335</v>
      </c>
      <c r="C31" s="114"/>
    </row>
    <row r="32" spans="1:3" ht="13.5" thickBot="1">
      <c r="B32" s="217" t="s">
        <v>336</v>
      </c>
      <c r="C32" s="115"/>
    </row>
    <row r="33" spans="2:3" ht="13.5" thickBot="1">
      <c r="B33" s="217" t="s">
        <v>337</v>
      </c>
      <c r="C33" s="218"/>
    </row>
    <row r="34" spans="2:3" ht="13.5" thickBot="1">
      <c r="B34" s="217" t="s">
        <v>338</v>
      </c>
      <c r="C34" s="219"/>
    </row>
    <row r="35" spans="2:3" ht="13.5" thickBot="1">
      <c r="B35" s="217" t="s">
        <v>339</v>
      </c>
      <c r="C35" s="220"/>
    </row>
    <row r="36" spans="2:3" ht="13.5" thickBot="1">
      <c r="B36" s="217" t="s">
        <v>340</v>
      </c>
      <c r="C36" s="221"/>
    </row>
    <row r="37" spans="2:3">
      <c r="B37" s="217" t="s">
        <v>341</v>
      </c>
      <c r="C37" s="222"/>
    </row>
    <row r="38" spans="2:3" ht="12" customHeight="1">
      <c r="B38" s="223"/>
      <c r="C38" s="224"/>
    </row>
  </sheetData>
  <sheetProtection algorithmName="SHA-512" hashValue="MT/B7xPfCS+TkJDibiPLlEblgIivCVcpj/rotT8/QsDl7mEs3+pl3MD0/Nppmg1gUTNGgmGQUYkSC0KgQAayQA==" saltValue="k8wkHbCVLwm3J3kzzIHvhA==" spinCount="100000" sheet="1" objects="1" scenarios="1" autoFilter="0"/>
  <hyperlinks>
    <hyperlink ref="B24" location="SUB_RATES" display="SUBRATES" xr:uid="{AB33EBFF-7153-42B6-9DDA-DF62244EB83F}"/>
    <hyperlink ref="B13" location="WELLS_INPUT_SHEET" display="WELLS" xr:uid="{CC0B4C74-66DE-482E-9A03-69AE50223CED}"/>
    <hyperlink ref="B25" location="LISTS" display="LISTS" xr:uid="{61E6D3B1-21E4-4B01-96F2-37FC07D54CDA}"/>
    <hyperlink ref="B20" location="WATER_STORAGE_INPUT_SHEET" display="WATER STORAGE" xr:uid="{50F9B4CF-B69A-4601-94E4-17CCF1F2B24F}"/>
    <hyperlink ref="B12" location="GENERAL_LAND_REHABILITATION" display="GENERAL LAND REHABILITATION" xr:uid="{723E099E-34EF-4025-864C-AB1268B2DEC3}"/>
    <hyperlink ref="B14" location="Wells!INFRASTRUCTURE_INPUT_SHEET" display="SEISMIC AND INFRASTRUCTURE" xr:uid="{4AC7AF03-3331-4F50-82D0-FCAB4717DCBE}"/>
    <hyperlink ref="B7" location="REGISTRATION" display="REGISTRATION" xr:uid="{989BFB54-F62F-4B62-8E70-40CE47988931}"/>
    <hyperlink ref="B23" location="ASSUMPTIONS" display="ASSUMPTIONS" xr:uid="{BDDB0E63-ABFC-4148-A114-AEA1517CF54A}"/>
    <hyperlink ref="B8" location="INFORMATION_SHEET" display="INFORMATION" xr:uid="{5B305C47-9996-4887-8625-89720CCF9DB5}"/>
    <hyperlink ref="B9" location="SUMMARY" display="SUMMARY" xr:uid="{5C12FF69-9B8F-460F-863A-5A203FB0FE34}"/>
    <hyperlink ref="B10" location="MAIN" display="MAIN" xr:uid="{7A0790C8-3DF1-41AB-8172-A2CC378B4C2A}"/>
    <hyperlink ref="B15" location="PIPELINES_LAND_INPUT_SHEET" display="PIPELINES (LAND)" xr:uid="{8582D0FC-557D-4192-884A-082D81BD8148}"/>
    <hyperlink ref="B16" location="PROCESS_FACILITIES" display="PROCESS FACILITIES" xr:uid="{8F61DAC0-F0ED-481E-A027-6D29D19DA6E6}"/>
    <hyperlink ref="B6" location="TERMS_AND_CONDITIONS_OF_USE" display="TERMS AND CONDITIONS OF USE" xr:uid="{3A787A7C-23C9-4E5D-8D9E-1F36E41261D6}"/>
    <hyperlink ref="B19" location="WATER_FACILITIES___USER_BUILD" display="WATER FACILITIES USER BUILD" xr:uid="{C742296A-AFA1-472A-A79D-E47E1B9CFD40}"/>
    <hyperlink ref="B21" location="WATER_STORAGE_USER_BUILD" display="WATER STORAGE USER BUILD" xr:uid="{FB73D514-7D94-42AF-8400-0CA89269F84F}"/>
    <hyperlink ref="B17" location="PROCESS_FACILITIES_USER_BUILD" display="PROCESS FACILITIES USER BUILD" xr:uid="{D6E04BE9-349C-4DD9-8F1D-D031E89000AD}"/>
    <hyperlink ref="B18" location="LIQUIFIED_NATURAL_GAS_PROCESSING_FACILITIES" display="LNG FACILITIES" xr:uid="{6C847737-70C3-4B33-B246-0CBA2729CB85}"/>
    <hyperlink ref="B22" location="INVESTIGATION_CONTAMINATION" display="INVESTIGATION CONTAMINATION" xr:uid="{4B541867-739A-4182-8666-BBD963CBCD57}"/>
    <hyperlink ref="B11" location="WASTE_REGISTER" display="WASTE REGISTER" xr:uid="{2CA30021-4D8C-47BE-B72A-7F5230E273B0}"/>
  </hyperlink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F18D7-E4E3-470E-AF4D-072FDFF3F2F2}">
  <sheetPr codeName="Sheet321">
    <pageSetUpPr fitToPage="1"/>
  </sheetPr>
  <dimension ref="A1:IP346"/>
  <sheetViews>
    <sheetView showGridLines="0" zoomScale="90" zoomScaleNormal="90" zoomScaleSheetLayoutView="90" workbookViewId="0">
      <pane xSplit="2" ySplit="3" topLeftCell="C4" activePane="bottomRight" state="frozen"/>
      <selection pane="topRight" activeCell="F215" sqref="F215"/>
      <selection pane="bottomLeft" activeCell="F215" sqref="F215"/>
      <selection pane="bottomRight"/>
    </sheetView>
  </sheetViews>
  <sheetFormatPr defaultColWidth="9.28515625" defaultRowHeight="12.75"/>
  <cols>
    <col min="1" max="1" width="3" style="685" customWidth="1"/>
    <col min="2" max="2" width="9.42578125" style="685" customWidth="1"/>
    <col min="3" max="3" width="70.42578125" style="685" customWidth="1"/>
    <col min="4" max="12" width="12.5703125" style="685" customWidth="1"/>
    <col min="13" max="13" width="12.5703125" style="695" customWidth="1"/>
    <col min="14" max="34" width="12.5703125" style="685" customWidth="1"/>
    <col min="35" max="16384" width="9.28515625" style="685"/>
  </cols>
  <sheetData>
    <row r="1" spans="1:248">
      <c r="C1" s="686">
        <v>1</v>
      </c>
      <c r="D1" s="686">
        <f t="shared" ref="D1:S1" si="0">C1+1</f>
        <v>2</v>
      </c>
      <c r="E1" s="686">
        <f t="shared" si="0"/>
        <v>3</v>
      </c>
      <c r="F1" s="686">
        <f t="shared" si="0"/>
        <v>4</v>
      </c>
      <c r="G1" s="686">
        <f t="shared" si="0"/>
        <v>5</v>
      </c>
      <c r="H1" s="686">
        <f t="shared" si="0"/>
        <v>6</v>
      </c>
      <c r="I1" s="686">
        <f t="shared" si="0"/>
        <v>7</v>
      </c>
      <c r="J1" s="686">
        <f t="shared" si="0"/>
        <v>8</v>
      </c>
      <c r="K1" s="686">
        <f t="shared" si="0"/>
        <v>9</v>
      </c>
      <c r="L1" s="686">
        <f t="shared" si="0"/>
        <v>10</v>
      </c>
      <c r="M1" s="686">
        <f t="shared" si="0"/>
        <v>11</v>
      </c>
      <c r="N1" s="686">
        <f t="shared" si="0"/>
        <v>12</v>
      </c>
      <c r="O1" s="686">
        <f t="shared" si="0"/>
        <v>13</v>
      </c>
      <c r="P1" s="686">
        <f t="shared" si="0"/>
        <v>14</v>
      </c>
      <c r="Q1" s="686">
        <f t="shared" si="0"/>
        <v>15</v>
      </c>
      <c r="R1" s="686">
        <f t="shared" si="0"/>
        <v>16</v>
      </c>
      <c r="S1" s="686">
        <f t="shared" si="0"/>
        <v>17</v>
      </c>
    </row>
    <row r="2" spans="1:248" customFormat="1" ht="16.350000000000001" customHeight="1" thickBot="1">
      <c r="B2" s="225" t="str">
        <f>CONTENTS!$B$2</f>
        <v>Petroleum and Gas Estimated Rehabilitation Cost Calculator</v>
      </c>
      <c r="C2" s="685"/>
    </row>
    <row r="3" spans="1:248" customFormat="1" ht="21" customHeight="1" thickBot="1">
      <c r="B3" s="20" t="s">
        <v>305</v>
      </c>
      <c r="C3" s="687" t="s">
        <v>329</v>
      </c>
      <c r="D3" s="461" t="s">
        <v>2063</v>
      </c>
      <c r="E3" s="461"/>
      <c r="F3" s="461"/>
      <c r="G3" s="461"/>
      <c r="H3" s="461"/>
      <c r="I3" s="461"/>
      <c r="J3" s="461"/>
      <c r="K3" s="461"/>
    </row>
    <row r="4" spans="1:248" customFormat="1"/>
    <row r="5" spans="1:248" customFormat="1" ht="15.75">
      <c r="C5" s="688" t="s">
        <v>2064</v>
      </c>
    </row>
    <row r="6" spans="1:248" customFormat="1">
      <c r="C6" s="30" t="s">
        <v>2065</v>
      </c>
      <c r="D6" s="31" t="s">
        <v>1</v>
      </c>
      <c r="E6" s="31" t="s">
        <v>2066</v>
      </c>
    </row>
    <row r="7" spans="1:248" s="689" customFormat="1" ht="15.75">
      <c r="B7"/>
      <c r="C7" s="22" t="s">
        <v>2067</v>
      </c>
      <c r="D7" s="22" t="s">
        <v>252</v>
      </c>
      <c r="E7" s="32">
        <v>10</v>
      </c>
      <c r="F7"/>
      <c r="G7"/>
      <c r="H7"/>
      <c r="I7"/>
      <c r="J7"/>
      <c r="K7"/>
      <c r="L7"/>
      <c r="M7"/>
      <c r="N7"/>
      <c r="O7"/>
      <c r="P7"/>
      <c r="Q7"/>
      <c r="R7"/>
      <c r="S7"/>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c r="AT7" s="690"/>
      <c r="AU7" s="690"/>
      <c r="AV7" s="690"/>
      <c r="AW7" s="690"/>
      <c r="AX7" s="690"/>
      <c r="AY7" s="690"/>
      <c r="AZ7" s="690"/>
      <c r="BA7" s="690"/>
      <c r="BB7" s="690"/>
      <c r="BC7" s="690"/>
      <c r="BD7" s="690"/>
      <c r="BE7" s="690"/>
      <c r="BF7" s="690"/>
      <c r="BG7" s="690"/>
      <c r="BH7" s="690"/>
      <c r="BI7" s="690"/>
      <c r="BJ7" s="690"/>
      <c r="BK7" s="690"/>
      <c r="BL7" s="690"/>
      <c r="BM7" s="690"/>
      <c r="BN7" s="690"/>
      <c r="BO7" s="690"/>
      <c r="BP7" s="690"/>
      <c r="BQ7" s="690"/>
      <c r="BR7" s="690"/>
      <c r="BS7" s="690"/>
      <c r="BT7" s="690"/>
      <c r="BU7" s="690"/>
      <c r="BV7" s="690"/>
      <c r="BW7" s="690"/>
      <c r="BX7" s="690"/>
      <c r="BY7" s="690"/>
      <c r="BZ7" s="690"/>
      <c r="CA7" s="690"/>
      <c r="CB7" s="690"/>
      <c r="CC7" s="690"/>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0"/>
      <c r="DK7" s="690"/>
      <c r="DL7" s="690"/>
      <c r="DM7" s="690"/>
      <c r="DN7" s="690"/>
      <c r="DO7" s="690"/>
      <c r="DP7" s="690"/>
      <c r="DQ7" s="690"/>
      <c r="DR7" s="690"/>
      <c r="DS7" s="690"/>
      <c r="DT7" s="690"/>
      <c r="DU7" s="690"/>
      <c r="DV7" s="690"/>
      <c r="DW7" s="690"/>
      <c r="DX7" s="690"/>
      <c r="DY7" s="690"/>
      <c r="DZ7" s="690"/>
      <c r="EA7" s="690"/>
      <c r="EB7" s="690"/>
      <c r="EC7" s="690"/>
      <c r="ED7" s="690"/>
      <c r="EE7" s="690"/>
      <c r="EF7" s="690"/>
      <c r="EG7" s="690"/>
      <c r="EH7" s="690"/>
      <c r="EI7" s="690"/>
      <c r="EJ7" s="690"/>
      <c r="EK7" s="690"/>
      <c r="EL7" s="690"/>
      <c r="EM7" s="690"/>
      <c r="EN7" s="690"/>
      <c r="EO7" s="690"/>
      <c r="EP7" s="690"/>
      <c r="EQ7" s="690"/>
      <c r="ER7" s="690"/>
      <c r="ES7" s="690"/>
      <c r="ET7" s="690"/>
      <c r="EU7" s="690"/>
      <c r="EV7" s="690"/>
      <c r="EW7" s="690"/>
      <c r="EX7" s="690"/>
      <c r="EY7" s="690"/>
      <c r="EZ7" s="690"/>
      <c r="FA7" s="690"/>
      <c r="FB7" s="690"/>
      <c r="FC7" s="690"/>
      <c r="FD7" s="690"/>
      <c r="FE7" s="690"/>
      <c r="FF7" s="690"/>
      <c r="FG7" s="690"/>
      <c r="FH7" s="690"/>
      <c r="FI7" s="690"/>
      <c r="FJ7" s="690"/>
      <c r="FK7" s="690"/>
      <c r="FL7" s="690"/>
      <c r="FM7" s="690"/>
      <c r="FN7" s="690"/>
      <c r="FO7" s="690"/>
      <c r="FP7" s="690"/>
      <c r="FQ7" s="690"/>
      <c r="FR7" s="690"/>
      <c r="FS7" s="690"/>
      <c r="FT7" s="690"/>
      <c r="FU7" s="690"/>
      <c r="FV7" s="690"/>
      <c r="FW7" s="690"/>
      <c r="FX7" s="690"/>
      <c r="FY7" s="690"/>
      <c r="FZ7" s="690"/>
      <c r="GA7" s="690"/>
      <c r="GB7" s="690"/>
      <c r="GC7" s="690"/>
      <c r="GD7" s="690"/>
      <c r="GE7" s="690"/>
      <c r="GF7" s="690"/>
      <c r="GG7" s="690"/>
      <c r="GH7" s="690"/>
      <c r="GI7" s="690"/>
      <c r="GJ7" s="690"/>
      <c r="GK7" s="690"/>
      <c r="GL7" s="690"/>
      <c r="GM7" s="690"/>
      <c r="GN7" s="690"/>
      <c r="GO7" s="690"/>
      <c r="GP7" s="690"/>
      <c r="GQ7" s="690"/>
      <c r="GR7" s="690"/>
      <c r="GS7" s="690"/>
      <c r="GT7" s="690"/>
      <c r="GU7" s="690"/>
      <c r="GV7" s="690"/>
      <c r="GW7" s="690"/>
      <c r="GX7" s="690"/>
      <c r="GY7" s="690"/>
      <c r="GZ7" s="690"/>
      <c r="HA7" s="690"/>
      <c r="HB7" s="690"/>
      <c r="HC7" s="690"/>
      <c r="HD7" s="690"/>
      <c r="HE7" s="690"/>
      <c r="HF7" s="690"/>
      <c r="HG7" s="690"/>
      <c r="HH7" s="690"/>
      <c r="HI7" s="690"/>
      <c r="HJ7" s="690"/>
      <c r="HK7" s="690"/>
      <c r="HL7" s="690"/>
      <c r="HM7" s="690"/>
      <c r="HN7" s="690"/>
      <c r="HO7" s="690"/>
      <c r="HP7" s="690"/>
      <c r="HQ7" s="690"/>
      <c r="HR7" s="690"/>
      <c r="HS7" s="690"/>
      <c r="HT7" s="690"/>
      <c r="HU7" s="690"/>
      <c r="HV7" s="690"/>
      <c r="HW7" s="690"/>
      <c r="HX7" s="690"/>
      <c r="HY7" s="690"/>
      <c r="HZ7" s="690"/>
      <c r="IA7" s="690"/>
      <c r="IB7" s="690"/>
      <c r="IC7" s="690"/>
      <c r="ID7" s="690"/>
      <c r="IE7" s="690"/>
      <c r="IF7" s="690"/>
      <c r="IG7" s="690"/>
      <c r="IH7" s="690"/>
      <c r="II7" s="690"/>
      <c r="IJ7" s="690"/>
      <c r="IK7" s="690"/>
      <c r="IL7" s="690"/>
      <c r="IM7" s="690"/>
      <c r="IN7" s="690"/>
    </row>
    <row r="8" spans="1:248" s="689" customFormat="1" ht="15.75">
      <c r="B8"/>
      <c r="C8" s="22" t="s">
        <v>2068</v>
      </c>
      <c r="D8" s="22" t="s">
        <v>85</v>
      </c>
      <c r="E8" s="32">
        <v>100</v>
      </c>
      <c r="F8"/>
      <c r="G8"/>
      <c r="H8"/>
      <c r="I8"/>
      <c r="J8"/>
      <c r="K8"/>
      <c r="L8"/>
      <c r="M8"/>
      <c r="N8"/>
      <c r="O8"/>
      <c r="P8"/>
      <c r="Q8"/>
      <c r="R8"/>
      <c r="S8"/>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0"/>
      <c r="BO8" s="690"/>
      <c r="BP8" s="690"/>
      <c r="BQ8" s="690"/>
      <c r="BR8" s="690"/>
      <c r="BS8" s="690"/>
      <c r="BT8" s="690"/>
      <c r="BU8" s="690"/>
      <c r="BV8" s="690"/>
      <c r="BW8" s="690"/>
      <c r="BX8" s="690"/>
      <c r="BY8" s="690"/>
      <c r="BZ8" s="690"/>
      <c r="CA8" s="690"/>
      <c r="CB8" s="690"/>
      <c r="CC8" s="690"/>
      <c r="CD8" s="690"/>
      <c r="CE8" s="690"/>
      <c r="CF8" s="690"/>
      <c r="CG8" s="690"/>
      <c r="CH8" s="690"/>
      <c r="CI8" s="690"/>
      <c r="CJ8" s="690"/>
      <c r="CK8" s="690"/>
      <c r="CL8" s="690"/>
      <c r="CM8" s="690"/>
      <c r="CN8" s="690"/>
      <c r="CO8" s="690"/>
      <c r="CP8" s="690"/>
      <c r="CQ8" s="690"/>
      <c r="CR8" s="690"/>
      <c r="CS8" s="690"/>
      <c r="CT8" s="690"/>
      <c r="CU8" s="690"/>
      <c r="CV8" s="690"/>
      <c r="CW8" s="690"/>
      <c r="CX8" s="690"/>
      <c r="CY8" s="690"/>
      <c r="CZ8" s="690"/>
      <c r="DA8" s="690"/>
      <c r="DB8" s="690"/>
      <c r="DC8" s="690"/>
      <c r="DD8" s="690"/>
      <c r="DE8" s="690"/>
      <c r="DF8" s="690"/>
      <c r="DG8" s="690"/>
      <c r="DH8" s="690"/>
      <c r="DI8" s="690"/>
      <c r="DJ8" s="690"/>
      <c r="DK8" s="690"/>
      <c r="DL8" s="690"/>
      <c r="DM8" s="690"/>
      <c r="DN8" s="690"/>
      <c r="DO8" s="690"/>
      <c r="DP8" s="690"/>
      <c r="DQ8" s="690"/>
      <c r="DR8" s="690"/>
      <c r="DS8" s="690"/>
      <c r="DT8" s="690"/>
      <c r="DU8" s="690"/>
      <c r="DV8" s="690"/>
      <c r="DW8" s="690"/>
      <c r="DX8" s="690"/>
      <c r="DY8" s="690"/>
      <c r="DZ8" s="690"/>
      <c r="EA8" s="690"/>
      <c r="EB8" s="690"/>
      <c r="EC8" s="690"/>
      <c r="ED8" s="690"/>
      <c r="EE8" s="690"/>
      <c r="EF8" s="690"/>
      <c r="EG8" s="690"/>
      <c r="EH8" s="690"/>
      <c r="EI8" s="690"/>
      <c r="EJ8" s="690"/>
      <c r="EK8" s="690"/>
      <c r="EL8" s="690"/>
      <c r="EM8" s="690"/>
      <c r="EN8" s="690"/>
      <c r="EO8" s="690"/>
      <c r="EP8" s="690"/>
      <c r="EQ8" s="690"/>
      <c r="ER8" s="690"/>
      <c r="ES8" s="690"/>
      <c r="ET8" s="690"/>
      <c r="EU8" s="690"/>
      <c r="EV8" s="690"/>
      <c r="EW8" s="690"/>
      <c r="EX8" s="690"/>
      <c r="EY8" s="690"/>
      <c r="EZ8" s="690"/>
      <c r="FA8" s="690"/>
      <c r="FB8" s="690"/>
      <c r="FC8" s="690"/>
      <c r="FD8" s="690"/>
      <c r="FE8" s="690"/>
      <c r="FF8" s="690"/>
      <c r="FG8" s="690"/>
      <c r="FH8" s="690"/>
      <c r="FI8" s="690"/>
      <c r="FJ8" s="690"/>
      <c r="FK8" s="690"/>
      <c r="FL8" s="690"/>
      <c r="FM8" s="690"/>
      <c r="FN8" s="690"/>
      <c r="FO8" s="690"/>
      <c r="FP8" s="690"/>
      <c r="FQ8" s="690"/>
      <c r="FR8" s="690"/>
      <c r="FS8" s="690"/>
      <c r="FT8" s="690"/>
      <c r="FU8" s="690"/>
      <c r="FV8" s="690"/>
      <c r="FW8" s="690"/>
      <c r="FX8" s="690"/>
      <c r="FY8" s="690"/>
      <c r="FZ8" s="690"/>
      <c r="GA8" s="690"/>
      <c r="GB8" s="690"/>
      <c r="GC8" s="690"/>
      <c r="GD8" s="690"/>
      <c r="GE8" s="690"/>
      <c r="GF8" s="690"/>
      <c r="GG8" s="690"/>
      <c r="GH8" s="690"/>
      <c r="GI8" s="690"/>
      <c r="GJ8" s="690"/>
      <c r="GK8" s="690"/>
      <c r="GL8" s="690"/>
      <c r="GM8" s="690"/>
      <c r="GN8" s="690"/>
      <c r="GO8" s="690"/>
      <c r="GP8" s="690"/>
      <c r="GQ8" s="690"/>
      <c r="GR8" s="690"/>
      <c r="GS8" s="690"/>
      <c r="GT8" s="690"/>
      <c r="GU8" s="690"/>
      <c r="GV8" s="690"/>
      <c r="GW8" s="690"/>
      <c r="GX8" s="690"/>
      <c r="GY8" s="690"/>
      <c r="GZ8" s="690"/>
      <c r="HA8" s="690"/>
      <c r="HB8" s="690"/>
      <c r="HC8" s="690"/>
      <c r="HD8" s="690"/>
      <c r="HE8" s="690"/>
      <c r="HF8" s="690"/>
      <c r="HG8" s="690"/>
      <c r="HH8" s="690"/>
      <c r="HI8" s="690"/>
      <c r="HJ8" s="690"/>
      <c r="HK8" s="690"/>
      <c r="HL8" s="690"/>
      <c r="HM8" s="690"/>
      <c r="HN8" s="690"/>
      <c r="HO8" s="690"/>
      <c r="HP8" s="690"/>
      <c r="HQ8" s="690"/>
      <c r="HR8" s="690"/>
      <c r="HS8" s="690"/>
      <c r="HT8" s="690"/>
      <c r="HU8" s="690"/>
      <c r="HV8" s="690"/>
      <c r="HW8" s="690"/>
      <c r="HX8" s="690"/>
      <c r="HY8" s="690"/>
      <c r="HZ8" s="690"/>
      <c r="IA8" s="690"/>
      <c r="IB8" s="690"/>
      <c r="IC8" s="690"/>
      <c r="ID8" s="690"/>
      <c r="IE8" s="690"/>
      <c r="IF8" s="690"/>
      <c r="IG8" s="690"/>
      <c r="IH8" s="690"/>
      <c r="II8" s="690"/>
      <c r="IJ8" s="690"/>
      <c r="IK8" s="690"/>
      <c r="IL8" s="690"/>
      <c r="IM8" s="690"/>
      <c r="IN8" s="690"/>
    </row>
    <row r="9" spans="1:248" s="689" customFormat="1" ht="15.75">
      <c r="B9"/>
      <c r="C9" s="22" t="s">
        <v>2069</v>
      </c>
      <c r="D9" s="36" t="s">
        <v>213</v>
      </c>
      <c r="E9" s="33">
        <v>0.1</v>
      </c>
      <c r="F9"/>
      <c r="G9"/>
      <c r="H9"/>
      <c r="I9"/>
      <c r="J9"/>
      <c r="K9"/>
      <c r="L9"/>
      <c r="M9"/>
      <c r="N9"/>
      <c r="O9"/>
      <c r="P9"/>
      <c r="Q9"/>
      <c r="R9"/>
      <c r="S9"/>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c r="AT9" s="690"/>
      <c r="AU9" s="690"/>
      <c r="AV9" s="690"/>
      <c r="AW9" s="690"/>
      <c r="AX9" s="690"/>
      <c r="AY9" s="690"/>
      <c r="AZ9" s="690"/>
      <c r="BA9" s="690"/>
      <c r="BB9" s="690"/>
      <c r="BC9" s="690"/>
      <c r="BD9" s="690"/>
      <c r="BE9" s="690"/>
      <c r="BF9" s="690"/>
      <c r="BG9" s="690"/>
      <c r="BH9" s="690"/>
      <c r="BI9" s="690"/>
      <c r="BJ9" s="690"/>
      <c r="BK9" s="690"/>
      <c r="BL9" s="690"/>
      <c r="BM9" s="690"/>
      <c r="BN9" s="690"/>
      <c r="BO9" s="690"/>
      <c r="BP9" s="690"/>
      <c r="BQ9" s="690"/>
      <c r="BR9" s="690"/>
      <c r="BS9" s="690"/>
      <c r="BT9" s="690"/>
      <c r="BU9" s="690"/>
      <c r="BV9" s="690"/>
      <c r="BW9" s="690"/>
      <c r="BX9" s="690"/>
      <c r="BY9" s="690"/>
      <c r="BZ9" s="690"/>
      <c r="CA9" s="690"/>
      <c r="CB9" s="690"/>
      <c r="CC9" s="690"/>
      <c r="CD9" s="690"/>
      <c r="CE9" s="690"/>
      <c r="CF9" s="690"/>
      <c r="CG9" s="690"/>
      <c r="CH9" s="690"/>
      <c r="CI9" s="690"/>
      <c r="CJ9" s="690"/>
      <c r="CK9" s="690"/>
      <c r="CL9" s="690"/>
      <c r="CM9" s="690"/>
      <c r="CN9" s="690"/>
      <c r="CO9" s="690"/>
      <c r="CP9" s="690"/>
      <c r="CQ9" s="690"/>
      <c r="CR9" s="690"/>
      <c r="CS9" s="690"/>
      <c r="CT9" s="690"/>
      <c r="CU9" s="690"/>
      <c r="CV9" s="690"/>
      <c r="CW9" s="690"/>
      <c r="CX9" s="690"/>
      <c r="CY9" s="690"/>
      <c r="CZ9" s="690"/>
      <c r="DA9" s="690"/>
      <c r="DB9" s="690"/>
      <c r="DC9" s="690"/>
      <c r="DD9" s="690"/>
      <c r="DE9" s="690"/>
      <c r="DF9" s="690"/>
      <c r="DG9" s="690"/>
      <c r="DH9" s="690"/>
      <c r="DI9" s="690"/>
      <c r="DJ9" s="690"/>
      <c r="DK9" s="690"/>
      <c r="DL9" s="690"/>
      <c r="DM9" s="690"/>
      <c r="DN9" s="690"/>
      <c r="DO9" s="690"/>
      <c r="DP9" s="690"/>
      <c r="DQ9" s="690"/>
      <c r="DR9" s="690"/>
      <c r="DS9" s="690"/>
      <c r="DT9" s="690"/>
      <c r="DU9" s="690"/>
      <c r="DV9" s="690"/>
      <c r="DW9" s="690"/>
      <c r="DX9" s="690"/>
      <c r="DY9" s="690"/>
      <c r="DZ9" s="690"/>
      <c r="EA9" s="690"/>
      <c r="EB9" s="690"/>
      <c r="EC9" s="690"/>
      <c r="ED9" s="690"/>
      <c r="EE9" s="690"/>
      <c r="EF9" s="690"/>
      <c r="EG9" s="690"/>
      <c r="EH9" s="690"/>
      <c r="EI9" s="690"/>
      <c r="EJ9" s="690"/>
      <c r="EK9" s="690"/>
      <c r="EL9" s="690"/>
      <c r="EM9" s="690"/>
      <c r="EN9" s="690"/>
      <c r="EO9" s="690"/>
      <c r="EP9" s="690"/>
      <c r="EQ9" s="690"/>
      <c r="ER9" s="690"/>
      <c r="ES9" s="690"/>
      <c r="ET9" s="690"/>
      <c r="EU9" s="690"/>
      <c r="EV9" s="690"/>
      <c r="EW9" s="690"/>
      <c r="EX9" s="690"/>
      <c r="EY9" s="690"/>
      <c r="EZ9" s="690"/>
      <c r="FA9" s="690"/>
      <c r="FB9" s="690"/>
      <c r="FC9" s="690"/>
      <c r="FD9" s="690"/>
      <c r="FE9" s="690"/>
      <c r="FF9" s="690"/>
      <c r="FG9" s="690"/>
      <c r="FH9" s="690"/>
      <c r="FI9" s="690"/>
      <c r="FJ9" s="690"/>
      <c r="FK9" s="690"/>
      <c r="FL9" s="690"/>
      <c r="FM9" s="690"/>
      <c r="FN9" s="690"/>
      <c r="FO9" s="690"/>
      <c r="FP9" s="690"/>
      <c r="FQ9" s="690"/>
      <c r="FR9" s="690"/>
      <c r="FS9" s="690"/>
      <c r="FT9" s="690"/>
      <c r="FU9" s="690"/>
      <c r="FV9" s="690"/>
      <c r="FW9" s="690"/>
      <c r="FX9" s="690"/>
      <c r="FY9" s="690"/>
      <c r="FZ9" s="690"/>
      <c r="GA9" s="690"/>
      <c r="GB9" s="690"/>
      <c r="GC9" s="690"/>
      <c r="GD9" s="690"/>
      <c r="GE9" s="690"/>
      <c r="GF9" s="690"/>
      <c r="GG9" s="690"/>
      <c r="GH9" s="690"/>
      <c r="GI9" s="690"/>
      <c r="GJ9" s="690"/>
      <c r="GK9" s="690"/>
      <c r="GL9" s="690"/>
      <c r="GM9" s="690"/>
      <c r="GN9" s="690"/>
      <c r="GO9" s="690"/>
      <c r="GP9" s="690"/>
      <c r="GQ9" s="690"/>
      <c r="GR9" s="690"/>
      <c r="GS9" s="690"/>
      <c r="GT9" s="690"/>
      <c r="GU9" s="690"/>
      <c r="GV9" s="690"/>
      <c r="GW9" s="690"/>
      <c r="GX9" s="690"/>
      <c r="GY9" s="690"/>
      <c r="GZ9" s="690"/>
      <c r="HA9" s="690"/>
      <c r="HB9" s="690"/>
      <c r="HC9" s="690"/>
      <c r="HD9" s="690"/>
      <c r="HE9" s="690"/>
      <c r="HF9" s="690"/>
      <c r="HG9" s="690"/>
      <c r="HH9" s="690"/>
      <c r="HI9" s="690"/>
      <c r="HJ9" s="690"/>
      <c r="HK9" s="690"/>
      <c r="HL9" s="690"/>
      <c r="HM9" s="690"/>
      <c r="HN9" s="690"/>
      <c r="HO9" s="690"/>
      <c r="HP9" s="690"/>
      <c r="HQ9" s="690"/>
      <c r="HR9" s="690"/>
      <c r="HS9" s="690"/>
      <c r="HT9" s="690"/>
      <c r="HU9" s="690"/>
      <c r="HV9" s="690"/>
      <c r="HW9" s="690"/>
      <c r="HX9" s="690"/>
      <c r="HY9" s="690"/>
      <c r="HZ9" s="690"/>
      <c r="IA9" s="690"/>
      <c r="IB9" s="690"/>
      <c r="IC9" s="690"/>
      <c r="ID9" s="690"/>
      <c r="IE9" s="690"/>
      <c r="IF9" s="690"/>
      <c r="IG9" s="690"/>
      <c r="IH9" s="690"/>
      <c r="II9" s="690"/>
      <c r="IJ9" s="690"/>
      <c r="IK9" s="690"/>
      <c r="IL9" s="690"/>
      <c r="IM9" s="690"/>
      <c r="IN9" s="690"/>
    </row>
    <row r="10" spans="1:248" s="692" customFormat="1" ht="15.75">
      <c r="A10" s="689"/>
      <c r="B10"/>
      <c r="C10" s="34" t="s">
        <v>2070</v>
      </c>
      <c r="D10" s="22"/>
      <c r="E10" s="35">
        <v>0.25</v>
      </c>
      <c r="F10"/>
      <c r="G10"/>
      <c r="H10"/>
      <c r="I10"/>
      <c r="J10"/>
      <c r="K10"/>
      <c r="L10"/>
      <c r="M10"/>
      <c r="N10"/>
      <c r="O10"/>
      <c r="P10"/>
      <c r="Q10"/>
      <c r="R10"/>
      <c r="S10"/>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A10" s="691"/>
      <c r="CB10" s="691"/>
      <c r="CC10" s="691"/>
      <c r="CD10" s="691"/>
      <c r="CE10" s="691"/>
      <c r="CF10" s="691"/>
      <c r="CG10" s="691"/>
      <c r="CH10" s="691"/>
      <c r="CI10" s="691"/>
      <c r="CJ10" s="691"/>
      <c r="CK10" s="691"/>
      <c r="CL10" s="691"/>
      <c r="CM10" s="691"/>
      <c r="CN10" s="691"/>
      <c r="CO10" s="691"/>
      <c r="CP10" s="691"/>
      <c r="CQ10" s="691"/>
      <c r="CR10" s="691"/>
      <c r="CS10" s="691"/>
      <c r="CT10" s="691"/>
      <c r="CU10" s="691"/>
      <c r="CV10" s="691"/>
      <c r="CW10" s="691"/>
      <c r="CX10" s="691"/>
      <c r="CY10" s="691"/>
      <c r="CZ10" s="691"/>
      <c r="DA10" s="691"/>
      <c r="DB10" s="691"/>
      <c r="DC10" s="691"/>
      <c r="DD10" s="691"/>
      <c r="DE10" s="691"/>
      <c r="DF10" s="691"/>
      <c r="DG10" s="691"/>
      <c r="DH10" s="691"/>
      <c r="DI10" s="691"/>
      <c r="DJ10" s="691"/>
      <c r="DK10" s="691"/>
      <c r="DL10" s="691"/>
      <c r="DM10" s="691"/>
      <c r="DN10" s="691"/>
      <c r="DO10" s="691"/>
      <c r="DP10" s="691"/>
      <c r="DQ10" s="691"/>
      <c r="DR10" s="691"/>
      <c r="DS10" s="691"/>
      <c r="DT10" s="691"/>
      <c r="DU10" s="691"/>
      <c r="DV10" s="691"/>
      <c r="DW10" s="691"/>
      <c r="DX10" s="691"/>
      <c r="DY10" s="691"/>
      <c r="DZ10" s="691"/>
      <c r="EA10" s="691"/>
      <c r="EB10" s="691"/>
      <c r="EC10" s="691"/>
      <c r="ED10" s="691"/>
      <c r="EE10" s="691"/>
      <c r="EF10" s="691"/>
      <c r="EG10" s="691"/>
      <c r="EH10" s="691"/>
      <c r="EI10" s="691"/>
      <c r="EJ10" s="691"/>
      <c r="EK10" s="691"/>
      <c r="EL10" s="691"/>
      <c r="EM10" s="691"/>
      <c r="EN10" s="691"/>
      <c r="EO10" s="691"/>
      <c r="EP10" s="691"/>
      <c r="EQ10" s="691"/>
      <c r="ER10" s="691"/>
      <c r="ES10" s="691"/>
      <c r="ET10" s="691"/>
      <c r="EU10" s="691"/>
      <c r="EV10" s="691"/>
      <c r="EW10" s="691"/>
      <c r="EX10" s="691"/>
      <c r="EY10" s="691"/>
      <c r="EZ10" s="691"/>
      <c r="FA10" s="691"/>
      <c r="FB10" s="691"/>
      <c r="FC10" s="691"/>
      <c r="FD10" s="691"/>
      <c r="FE10" s="691"/>
      <c r="FF10" s="691"/>
      <c r="FG10" s="691"/>
      <c r="FH10" s="691"/>
      <c r="FI10" s="691"/>
      <c r="FJ10" s="691"/>
      <c r="FK10" s="691"/>
      <c r="FL10" s="691"/>
      <c r="FM10" s="691"/>
      <c r="FN10" s="691"/>
      <c r="FO10" s="691"/>
      <c r="FP10" s="691"/>
      <c r="FQ10" s="691"/>
      <c r="FR10" s="691"/>
      <c r="FS10" s="691"/>
      <c r="FT10" s="691"/>
      <c r="FU10" s="691"/>
      <c r="FV10" s="691"/>
      <c r="FW10" s="691"/>
      <c r="FX10" s="691"/>
      <c r="FY10" s="691"/>
      <c r="FZ10" s="691"/>
      <c r="GA10" s="691"/>
      <c r="GB10" s="691"/>
      <c r="GC10" s="691"/>
      <c r="GD10" s="691"/>
      <c r="GE10" s="691"/>
      <c r="GF10" s="691"/>
      <c r="GG10" s="691"/>
      <c r="GH10" s="691"/>
      <c r="GI10" s="691"/>
      <c r="GJ10" s="691"/>
      <c r="GK10" s="691"/>
      <c r="GL10" s="691"/>
      <c r="GM10" s="691"/>
      <c r="GN10" s="691"/>
      <c r="GO10" s="691"/>
      <c r="GP10" s="691"/>
      <c r="GQ10" s="691"/>
      <c r="GR10" s="691"/>
      <c r="GS10" s="691"/>
      <c r="GT10" s="691"/>
      <c r="GU10" s="691"/>
      <c r="GV10" s="691"/>
      <c r="GW10" s="691"/>
      <c r="GX10" s="691"/>
      <c r="GY10" s="691"/>
      <c r="GZ10" s="691"/>
      <c r="HA10" s="691"/>
      <c r="HB10" s="691"/>
      <c r="HC10" s="691"/>
      <c r="HD10" s="691"/>
      <c r="HE10" s="691"/>
      <c r="HF10" s="691"/>
      <c r="HG10" s="691"/>
      <c r="HH10" s="691"/>
      <c r="HI10" s="691"/>
      <c r="HJ10" s="691"/>
      <c r="HK10" s="691"/>
      <c r="HL10" s="691"/>
      <c r="HM10" s="691"/>
      <c r="HN10" s="691"/>
      <c r="HO10" s="691"/>
      <c r="HP10" s="691"/>
      <c r="HQ10" s="691"/>
      <c r="HR10" s="691"/>
      <c r="HS10" s="691"/>
      <c r="HT10" s="691"/>
      <c r="HU10" s="691"/>
      <c r="HV10" s="691"/>
      <c r="HW10" s="691"/>
      <c r="HX10" s="691"/>
      <c r="HY10" s="691"/>
      <c r="HZ10" s="691"/>
      <c r="IA10" s="691"/>
      <c r="IB10" s="691"/>
      <c r="IC10" s="691"/>
      <c r="ID10" s="691"/>
      <c r="IE10" s="691"/>
      <c r="IF10" s="691"/>
      <c r="IG10" s="691"/>
      <c r="IH10" s="691"/>
      <c r="II10" s="691"/>
      <c r="IJ10" s="691"/>
      <c r="IK10" s="691"/>
      <c r="IL10" s="691"/>
      <c r="IM10" s="691"/>
      <c r="IN10" s="691"/>
    </row>
    <row r="11" spans="1:248" s="692" customFormat="1">
      <c r="A11" s="689"/>
      <c r="B11"/>
      <c r="F11"/>
      <c r="G11"/>
      <c r="H11"/>
      <c r="I11"/>
      <c r="J11"/>
      <c r="K11"/>
      <c r="L11"/>
      <c r="M11"/>
      <c r="N11"/>
      <c r="O11"/>
      <c r="P11"/>
      <c r="Q11"/>
      <c r="R11"/>
      <c r="S11"/>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c r="AT11" s="691"/>
      <c r="AU11" s="691"/>
      <c r="AV11" s="691"/>
      <c r="AW11" s="691"/>
      <c r="AX11" s="691"/>
      <c r="AY11" s="691"/>
      <c r="AZ11" s="691"/>
      <c r="BA11" s="691"/>
      <c r="BB11" s="691"/>
      <c r="BC11" s="691"/>
      <c r="BD11" s="691"/>
      <c r="BE11" s="691"/>
      <c r="BF11" s="691"/>
      <c r="BG11" s="691"/>
      <c r="BH11" s="691"/>
      <c r="BI11" s="691"/>
      <c r="BJ11" s="691"/>
      <c r="BK11" s="691"/>
      <c r="BL11" s="691"/>
      <c r="BM11" s="691"/>
      <c r="BN11" s="691"/>
      <c r="BO11" s="691"/>
      <c r="BP11" s="691"/>
      <c r="BQ11" s="691"/>
      <c r="BR11" s="691"/>
      <c r="BS11" s="691"/>
      <c r="BT11" s="691"/>
      <c r="BU11" s="691"/>
      <c r="BV11" s="691"/>
      <c r="BW11" s="691"/>
      <c r="BX11" s="691"/>
      <c r="BY11" s="691"/>
      <c r="BZ11" s="691"/>
      <c r="CA11" s="691"/>
      <c r="CB11" s="691"/>
      <c r="CC11" s="691"/>
      <c r="CD11" s="691"/>
      <c r="CE11" s="691"/>
      <c r="CF11" s="691"/>
      <c r="CG11" s="691"/>
      <c r="CH11" s="691"/>
      <c r="CI11" s="691"/>
      <c r="CJ11" s="691"/>
      <c r="CK11" s="691"/>
      <c r="CL11" s="691"/>
      <c r="CM11" s="691"/>
      <c r="CN11" s="691"/>
      <c r="CO11" s="691"/>
      <c r="CP11" s="691"/>
      <c r="CQ11" s="691"/>
      <c r="CR11" s="691"/>
      <c r="CS11" s="691"/>
      <c r="CT11" s="691"/>
      <c r="CU11" s="691"/>
      <c r="CV11" s="691"/>
      <c r="CW11" s="691"/>
      <c r="CX11" s="691"/>
      <c r="CY11" s="691"/>
      <c r="CZ11" s="691"/>
      <c r="DA11" s="691"/>
      <c r="DB11" s="691"/>
      <c r="DC11" s="691"/>
      <c r="DD11" s="691"/>
      <c r="DE11" s="691"/>
      <c r="DF11" s="691"/>
      <c r="DG11" s="691"/>
      <c r="DH11" s="691"/>
      <c r="DI11" s="691"/>
      <c r="DJ11" s="691"/>
      <c r="DK11" s="691"/>
      <c r="DL11" s="691"/>
      <c r="DM11" s="691"/>
      <c r="DN11" s="691"/>
      <c r="DO11" s="691"/>
      <c r="DP11" s="691"/>
      <c r="DQ11" s="691"/>
      <c r="DR11" s="691"/>
      <c r="DS11" s="691"/>
      <c r="DT11" s="691"/>
      <c r="DU11" s="691"/>
      <c r="DV11" s="691"/>
      <c r="DW11" s="691"/>
      <c r="DX11" s="691"/>
      <c r="DY11" s="691"/>
      <c r="DZ11" s="691"/>
      <c r="EA11" s="691"/>
      <c r="EB11" s="691"/>
      <c r="EC11" s="691"/>
      <c r="ED11" s="691"/>
      <c r="EE11" s="691"/>
      <c r="EF11" s="691"/>
      <c r="EG11" s="691"/>
      <c r="EH11" s="691"/>
      <c r="EI11" s="691"/>
      <c r="EJ11" s="691"/>
      <c r="EK11" s="691"/>
      <c r="EL11" s="691"/>
      <c r="EM11" s="691"/>
      <c r="EN11" s="691"/>
      <c r="EO11" s="691"/>
      <c r="EP11" s="691"/>
      <c r="EQ11" s="691"/>
      <c r="ER11" s="691"/>
      <c r="ES11" s="691"/>
      <c r="ET11" s="691"/>
      <c r="EU11" s="691"/>
      <c r="EV11" s="691"/>
      <c r="EW11" s="691"/>
      <c r="EX11" s="691"/>
      <c r="EY11" s="691"/>
      <c r="EZ11" s="691"/>
      <c r="FA11" s="691"/>
      <c r="FB11" s="691"/>
      <c r="FC11" s="691"/>
      <c r="FD11" s="691"/>
      <c r="FE11" s="691"/>
      <c r="FF11" s="691"/>
      <c r="FG11" s="691"/>
      <c r="FH11" s="691"/>
      <c r="FI11" s="691"/>
      <c r="FJ11" s="691"/>
      <c r="FK11" s="691"/>
      <c r="FL11" s="691"/>
      <c r="FM11" s="691"/>
      <c r="FN11" s="691"/>
      <c r="FO11" s="691"/>
      <c r="FP11" s="691"/>
      <c r="FQ11" s="691"/>
      <c r="FR11" s="691"/>
      <c r="FS11" s="691"/>
      <c r="FT11" s="691"/>
      <c r="FU11" s="691"/>
      <c r="FV11" s="691"/>
      <c r="FW11" s="691"/>
      <c r="FX11" s="691"/>
      <c r="FY11" s="691"/>
      <c r="FZ11" s="691"/>
      <c r="GA11" s="691"/>
      <c r="GB11" s="691"/>
      <c r="GC11" s="691"/>
      <c r="GD11" s="691"/>
      <c r="GE11" s="691"/>
      <c r="GF11" s="691"/>
      <c r="GG11" s="691"/>
      <c r="GH11" s="691"/>
      <c r="GI11" s="691"/>
      <c r="GJ11" s="691"/>
      <c r="GK11" s="691"/>
      <c r="GL11" s="691"/>
      <c r="GM11" s="691"/>
      <c r="GN11" s="691"/>
      <c r="GO11" s="691"/>
      <c r="GP11" s="691"/>
      <c r="GQ11" s="691"/>
      <c r="GR11" s="691"/>
      <c r="GS11" s="691"/>
      <c r="GT11" s="691"/>
      <c r="GU11" s="691"/>
      <c r="GV11" s="691"/>
      <c r="GW11" s="691"/>
      <c r="GX11" s="691"/>
      <c r="GY11" s="691"/>
      <c r="GZ11" s="691"/>
      <c r="HA11" s="691"/>
      <c r="HB11" s="691"/>
      <c r="HC11" s="691"/>
      <c r="HD11" s="691"/>
      <c r="HE11" s="691"/>
      <c r="HF11" s="691"/>
      <c r="HG11" s="691"/>
      <c r="HH11" s="691"/>
      <c r="HI11" s="691"/>
      <c r="HJ11" s="691"/>
      <c r="HK11" s="691"/>
      <c r="HL11" s="691"/>
      <c r="HM11" s="691"/>
      <c r="HN11" s="691"/>
      <c r="HO11" s="691"/>
      <c r="HP11" s="691"/>
      <c r="HQ11" s="691"/>
      <c r="HR11" s="691"/>
      <c r="HS11" s="691"/>
      <c r="HT11" s="691"/>
      <c r="HU11" s="691"/>
      <c r="HV11" s="691"/>
      <c r="HW11" s="691"/>
      <c r="HX11" s="691"/>
      <c r="HY11" s="691"/>
      <c r="HZ11" s="691"/>
      <c r="IA11" s="691"/>
      <c r="IB11" s="691"/>
      <c r="IC11" s="691"/>
      <c r="ID11" s="691"/>
      <c r="IE11" s="691"/>
      <c r="IF11" s="691"/>
      <c r="IG11" s="691"/>
      <c r="IH11" s="691"/>
      <c r="II11" s="691"/>
      <c r="IJ11" s="691"/>
      <c r="IK11" s="691"/>
      <c r="IL11" s="691"/>
      <c r="IM11" s="691"/>
      <c r="IN11" s="691"/>
    </row>
    <row r="12" spans="1:248" customFormat="1" ht="15.75">
      <c r="C12" s="688" t="s">
        <v>2071</v>
      </c>
      <c r="E12" s="31" t="s">
        <v>2066</v>
      </c>
    </row>
    <row r="13" spans="1:248" s="692" customFormat="1" ht="15.75">
      <c r="B13"/>
      <c r="C13" s="24" t="s">
        <v>2072</v>
      </c>
      <c r="D13" s="22"/>
      <c r="E13" s="35">
        <v>16.666666666666668</v>
      </c>
      <c r="F13"/>
      <c r="G13"/>
      <c r="H13"/>
      <c r="I13"/>
      <c r="J13"/>
      <c r="K13"/>
      <c r="L13"/>
      <c r="M13"/>
      <c r="N13"/>
      <c r="O13"/>
      <c r="P13"/>
      <c r="Q13"/>
      <c r="R13"/>
      <c r="S13"/>
      <c r="T13" s="69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c r="AT13" s="691"/>
      <c r="AU13" s="691"/>
      <c r="AV13" s="691"/>
      <c r="AW13" s="691"/>
      <c r="AX13" s="691"/>
      <c r="AY13" s="691"/>
      <c r="AZ13" s="691"/>
      <c r="BA13" s="691"/>
      <c r="BB13" s="691"/>
      <c r="BC13" s="691"/>
      <c r="BD13" s="691"/>
      <c r="BE13" s="691"/>
      <c r="BF13" s="691"/>
      <c r="BG13" s="691"/>
      <c r="BH13" s="691"/>
      <c r="BI13" s="691"/>
      <c r="BJ13" s="691"/>
      <c r="BK13" s="691"/>
      <c r="BL13" s="691"/>
      <c r="BM13" s="691"/>
      <c r="BN13" s="691"/>
      <c r="BO13" s="691"/>
      <c r="BP13" s="691"/>
      <c r="BQ13" s="691"/>
      <c r="BR13" s="691"/>
      <c r="BS13" s="691"/>
      <c r="BT13" s="691"/>
      <c r="BU13" s="691"/>
      <c r="BV13" s="691"/>
      <c r="BW13" s="691"/>
      <c r="BX13" s="691"/>
      <c r="BY13" s="691"/>
      <c r="BZ13" s="691"/>
      <c r="CA13" s="691"/>
      <c r="CB13" s="691"/>
      <c r="CC13" s="691"/>
      <c r="CD13" s="691"/>
      <c r="CE13" s="691"/>
      <c r="CF13" s="691"/>
      <c r="CG13" s="691"/>
      <c r="CH13" s="691"/>
      <c r="CI13" s="691"/>
      <c r="CJ13" s="691"/>
      <c r="CK13" s="691"/>
      <c r="CL13" s="691"/>
      <c r="CM13" s="691"/>
      <c r="CN13" s="691"/>
      <c r="CO13" s="691"/>
      <c r="CP13" s="691"/>
      <c r="CQ13" s="691"/>
      <c r="CR13" s="691"/>
      <c r="CS13" s="691"/>
      <c r="CT13" s="691"/>
      <c r="CU13" s="691"/>
      <c r="CV13" s="691"/>
      <c r="CW13" s="691"/>
      <c r="CX13" s="691"/>
      <c r="CY13" s="691"/>
      <c r="CZ13" s="691"/>
      <c r="DA13" s="691"/>
      <c r="DB13" s="691"/>
      <c r="DC13" s="691"/>
      <c r="DD13" s="691"/>
      <c r="DE13" s="691"/>
      <c r="DF13" s="691"/>
      <c r="DG13" s="691"/>
      <c r="DH13" s="691"/>
      <c r="DI13" s="691"/>
      <c r="DJ13" s="691"/>
      <c r="DK13" s="691"/>
      <c r="DL13" s="691"/>
      <c r="DM13" s="691"/>
      <c r="DN13" s="691"/>
      <c r="DO13" s="691"/>
      <c r="DP13" s="691"/>
      <c r="DQ13" s="691"/>
      <c r="DR13" s="691"/>
      <c r="DS13" s="691"/>
      <c r="DT13" s="691"/>
      <c r="DU13" s="691"/>
      <c r="DV13" s="691"/>
      <c r="DW13" s="691"/>
      <c r="DX13" s="691"/>
      <c r="DY13" s="691"/>
      <c r="DZ13" s="691"/>
      <c r="EA13" s="691"/>
      <c r="EB13" s="691"/>
      <c r="EC13" s="691"/>
      <c r="ED13" s="691"/>
      <c r="EE13" s="691"/>
      <c r="EF13" s="691"/>
      <c r="EG13" s="691"/>
      <c r="EH13" s="691"/>
      <c r="EI13" s="691"/>
      <c r="EJ13" s="691"/>
      <c r="EK13" s="691"/>
      <c r="EL13" s="691"/>
      <c r="EM13" s="691"/>
      <c r="EN13" s="691"/>
      <c r="EO13" s="691"/>
      <c r="EP13" s="691"/>
      <c r="EQ13" s="691"/>
      <c r="ER13" s="691"/>
      <c r="ES13" s="691"/>
      <c r="ET13" s="691"/>
      <c r="EU13" s="691"/>
      <c r="EV13" s="691"/>
      <c r="EW13" s="691"/>
      <c r="EX13" s="691"/>
      <c r="EY13" s="691"/>
      <c r="EZ13" s="691"/>
      <c r="FA13" s="691"/>
      <c r="FB13" s="691"/>
      <c r="FC13" s="691"/>
      <c r="FD13" s="691"/>
      <c r="FE13" s="691"/>
      <c r="FF13" s="691"/>
      <c r="FG13" s="691"/>
      <c r="FH13" s="691"/>
      <c r="FI13" s="691"/>
      <c r="FJ13" s="691"/>
      <c r="FK13" s="691"/>
      <c r="FL13" s="691"/>
      <c r="FM13" s="691"/>
      <c r="FN13" s="691"/>
      <c r="FO13" s="691"/>
      <c r="FP13" s="691"/>
      <c r="FQ13" s="691"/>
      <c r="FR13" s="691"/>
      <c r="FS13" s="691"/>
      <c r="FT13" s="691"/>
      <c r="FU13" s="691"/>
      <c r="FV13" s="691"/>
      <c r="FW13" s="691"/>
      <c r="FX13" s="691"/>
      <c r="FY13" s="691"/>
      <c r="FZ13" s="691"/>
      <c r="GA13" s="691"/>
      <c r="GB13" s="691"/>
      <c r="GC13" s="691"/>
      <c r="GD13" s="691"/>
      <c r="GE13" s="691"/>
      <c r="GF13" s="691"/>
      <c r="GG13" s="691"/>
      <c r="GH13" s="691"/>
      <c r="GI13" s="691"/>
      <c r="GJ13" s="691"/>
      <c r="GK13" s="691"/>
      <c r="GL13" s="691"/>
      <c r="GM13" s="691"/>
      <c r="GN13" s="691"/>
      <c r="GO13" s="691"/>
      <c r="GP13" s="691"/>
      <c r="GQ13" s="691"/>
      <c r="GR13" s="691"/>
      <c r="GS13" s="691"/>
      <c r="GT13" s="691"/>
      <c r="GU13" s="691"/>
      <c r="GV13" s="691"/>
      <c r="GW13" s="691"/>
      <c r="GX13" s="691"/>
      <c r="GY13" s="691"/>
      <c r="GZ13" s="691"/>
      <c r="HA13" s="691"/>
      <c r="HB13" s="691"/>
      <c r="HC13" s="691"/>
      <c r="HD13" s="691"/>
      <c r="HE13" s="691"/>
      <c r="HF13" s="691"/>
      <c r="HG13" s="691"/>
      <c r="HH13" s="691"/>
      <c r="HI13" s="691"/>
      <c r="HJ13" s="691"/>
      <c r="HK13" s="691"/>
      <c r="HL13" s="691"/>
      <c r="HM13" s="691"/>
      <c r="HN13" s="691"/>
      <c r="HO13" s="691"/>
      <c r="HP13" s="691"/>
      <c r="HQ13" s="691"/>
      <c r="HR13" s="691"/>
      <c r="HS13" s="691"/>
      <c r="HT13" s="691"/>
      <c r="HU13" s="691"/>
      <c r="HV13" s="691"/>
      <c r="HW13" s="691"/>
      <c r="HX13" s="691"/>
      <c r="HY13" s="691"/>
      <c r="HZ13" s="691"/>
      <c r="IA13" s="691"/>
      <c r="IB13" s="691"/>
      <c r="IC13" s="691"/>
      <c r="ID13" s="691"/>
      <c r="IE13" s="691"/>
      <c r="IF13" s="691"/>
      <c r="IG13" s="691"/>
      <c r="IH13" s="691"/>
      <c r="II13" s="691"/>
      <c r="IJ13" s="691"/>
      <c r="IK13" s="691"/>
      <c r="IL13" s="691"/>
      <c r="IM13" s="691"/>
      <c r="IN13" s="691"/>
    </row>
    <row r="14" spans="1:248" s="692" customFormat="1">
      <c r="B14"/>
      <c r="F14"/>
      <c r="G14"/>
      <c r="H14"/>
      <c r="I14"/>
      <c r="J14"/>
      <c r="K14"/>
      <c r="L14"/>
      <c r="M14"/>
      <c r="N14"/>
      <c r="O14"/>
      <c r="P14"/>
      <c r="Q14"/>
      <c r="R14"/>
      <c r="S14"/>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A14" s="691"/>
      <c r="CB14" s="691"/>
      <c r="CC14" s="691"/>
      <c r="CD14" s="691"/>
      <c r="CE14" s="691"/>
      <c r="CF14" s="691"/>
      <c r="CG14" s="691"/>
      <c r="CH14" s="691"/>
      <c r="CI14" s="691"/>
      <c r="CJ14" s="691"/>
      <c r="CK14" s="691"/>
      <c r="CL14" s="691"/>
      <c r="CM14" s="691"/>
      <c r="CN14" s="691"/>
      <c r="CO14" s="691"/>
      <c r="CP14" s="691"/>
      <c r="CQ14" s="691"/>
      <c r="CR14" s="691"/>
      <c r="CS14" s="691"/>
      <c r="CT14" s="691"/>
      <c r="CU14" s="691"/>
      <c r="CV14" s="691"/>
      <c r="CW14" s="691"/>
      <c r="CX14" s="691"/>
      <c r="CY14" s="691"/>
      <c r="CZ14" s="691"/>
      <c r="DA14" s="691"/>
      <c r="DB14" s="691"/>
      <c r="DC14" s="691"/>
      <c r="DD14" s="691"/>
      <c r="DE14" s="691"/>
      <c r="DF14" s="691"/>
      <c r="DG14" s="691"/>
      <c r="DH14" s="691"/>
      <c r="DI14" s="691"/>
      <c r="DJ14" s="691"/>
      <c r="DK14" s="691"/>
      <c r="DL14" s="691"/>
      <c r="DM14" s="691"/>
      <c r="DN14" s="691"/>
      <c r="DO14" s="691"/>
      <c r="DP14" s="691"/>
      <c r="DQ14" s="691"/>
      <c r="DR14" s="691"/>
      <c r="DS14" s="691"/>
      <c r="DT14" s="691"/>
      <c r="DU14" s="691"/>
      <c r="DV14" s="691"/>
      <c r="DW14" s="691"/>
      <c r="DX14" s="691"/>
      <c r="DY14" s="691"/>
      <c r="DZ14" s="691"/>
      <c r="EA14" s="691"/>
      <c r="EB14" s="691"/>
      <c r="EC14" s="691"/>
      <c r="ED14" s="691"/>
      <c r="EE14" s="691"/>
      <c r="EF14" s="691"/>
      <c r="EG14" s="691"/>
      <c r="EH14" s="691"/>
      <c r="EI14" s="691"/>
      <c r="EJ14" s="691"/>
      <c r="EK14" s="691"/>
      <c r="EL14" s="691"/>
      <c r="EM14" s="691"/>
      <c r="EN14" s="691"/>
      <c r="EO14" s="691"/>
      <c r="EP14" s="691"/>
      <c r="EQ14" s="691"/>
      <c r="ER14" s="691"/>
      <c r="ES14" s="691"/>
      <c r="ET14" s="691"/>
      <c r="EU14" s="691"/>
      <c r="EV14" s="691"/>
      <c r="EW14" s="691"/>
      <c r="EX14" s="691"/>
      <c r="EY14" s="691"/>
      <c r="EZ14" s="691"/>
      <c r="FA14" s="691"/>
      <c r="FB14" s="691"/>
      <c r="FC14" s="691"/>
      <c r="FD14" s="691"/>
      <c r="FE14" s="691"/>
      <c r="FF14" s="691"/>
      <c r="FG14" s="691"/>
      <c r="FH14" s="691"/>
      <c r="FI14" s="691"/>
      <c r="FJ14" s="691"/>
      <c r="FK14" s="691"/>
      <c r="FL14" s="691"/>
      <c r="FM14" s="691"/>
      <c r="FN14" s="691"/>
      <c r="FO14" s="691"/>
      <c r="FP14" s="691"/>
      <c r="FQ14" s="691"/>
      <c r="FR14" s="691"/>
      <c r="FS14" s="691"/>
      <c r="FT14" s="691"/>
      <c r="FU14" s="691"/>
      <c r="FV14" s="691"/>
      <c r="FW14" s="691"/>
      <c r="FX14" s="691"/>
      <c r="FY14" s="691"/>
      <c r="FZ14" s="691"/>
      <c r="GA14" s="691"/>
      <c r="GB14" s="691"/>
      <c r="GC14" s="691"/>
      <c r="GD14" s="691"/>
      <c r="GE14" s="691"/>
      <c r="GF14" s="691"/>
      <c r="GG14" s="691"/>
      <c r="GH14" s="691"/>
      <c r="GI14" s="691"/>
      <c r="GJ14" s="691"/>
      <c r="GK14" s="691"/>
      <c r="GL14" s="691"/>
      <c r="GM14" s="691"/>
      <c r="GN14" s="691"/>
      <c r="GO14" s="691"/>
      <c r="GP14" s="691"/>
      <c r="GQ14" s="691"/>
      <c r="GR14" s="691"/>
      <c r="GS14" s="691"/>
      <c r="GT14" s="691"/>
      <c r="GU14" s="691"/>
      <c r="GV14" s="691"/>
      <c r="GW14" s="691"/>
      <c r="GX14" s="691"/>
      <c r="GY14" s="691"/>
      <c r="GZ14" s="691"/>
      <c r="HA14" s="691"/>
      <c r="HB14" s="691"/>
      <c r="HC14" s="691"/>
      <c r="HD14" s="691"/>
      <c r="HE14" s="691"/>
      <c r="HF14" s="691"/>
      <c r="HG14" s="691"/>
      <c r="HH14" s="691"/>
      <c r="HI14" s="691"/>
      <c r="HJ14" s="691"/>
      <c r="HK14" s="691"/>
      <c r="HL14" s="691"/>
      <c r="HM14" s="691"/>
      <c r="HN14" s="691"/>
      <c r="HO14" s="691"/>
      <c r="HP14" s="691"/>
      <c r="HQ14" s="691"/>
      <c r="HR14" s="691"/>
      <c r="HS14" s="691"/>
      <c r="HT14" s="691"/>
      <c r="HU14" s="691"/>
      <c r="HV14" s="691"/>
      <c r="HW14" s="691"/>
      <c r="HX14" s="691"/>
      <c r="HY14" s="691"/>
      <c r="HZ14" s="691"/>
      <c r="IA14" s="691"/>
      <c r="IB14" s="691"/>
      <c r="IC14" s="691"/>
      <c r="ID14" s="691"/>
      <c r="IE14" s="691"/>
      <c r="IF14" s="691"/>
      <c r="IG14" s="691"/>
      <c r="IH14" s="691"/>
      <c r="II14" s="691"/>
      <c r="IJ14" s="691"/>
      <c r="IK14" s="691"/>
      <c r="IL14" s="691"/>
      <c r="IM14" s="691"/>
      <c r="IN14" s="691"/>
    </row>
    <row r="15" spans="1:248" customFormat="1" ht="15.75">
      <c r="C15" s="688" t="s">
        <v>75</v>
      </c>
      <c r="E15" s="31" t="s">
        <v>2066</v>
      </c>
    </row>
    <row r="16" spans="1:248" s="692" customFormat="1" ht="15.75">
      <c r="B16"/>
      <c r="C16" s="24" t="s">
        <v>2073</v>
      </c>
      <c r="D16" s="23"/>
      <c r="E16" s="95">
        <v>0.05</v>
      </c>
      <c r="F16"/>
      <c r="G16"/>
      <c r="H16"/>
      <c r="I16"/>
      <c r="J16"/>
      <c r="K16"/>
      <c r="L16"/>
      <c r="M16"/>
      <c r="N16"/>
      <c r="O16"/>
      <c r="P16"/>
      <c r="Q16"/>
      <c r="R16"/>
      <c r="S16"/>
      <c r="T16" s="691"/>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c r="AT16" s="691"/>
      <c r="AU16" s="691"/>
      <c r="AV16" s="691"/>
      <c r="AW16" s="691"/>
      <c r="AX16" s="691"/>
      <c r="AY16" s="691"/>
      <c r="AZ16" s="691"/>
      <c r="BA16" s="691"/>
      <c r="BB16" s="691"/>
      <c r="BC16" s="691"/>
      <c r="BD16" s="691"/>
      <c r="BE16" s="691"/>
      <c r="BF16" s="691"/>
      <c r="BG16" s="691"/>
      <c r="BH16" s="691"/>
      <c r="BI16" s="691"/>
      <c r="BJ16" s="691"/>
      <c r="BK16" s="691"/>
      <c r="BL16" s="691"/>
      <c r="BM16" s="691"/>
      <c r="BN16" s="691"/>
      <c r="BO16" s="691"/>
      <c r="BP16" s="691"/>
      <c r="BQ16" s="691"/>
      <c r="BR16" s="691"/>
      <c r="BS16" s="691"/>
      <c r="BT16" s="691"/>
      <c r="BU16" s="691"/>
      <c r="BV16" s="691"/>
      <c r="BW16" s="691"/>
      <c r="BX16" s="691"/>
      <c r="BY16" s="691"/>
      <c r="BZ16" s="691"/>
      <c r="CA16" s="691"/>
      <c r="CB16" s="691"/>
      <c r="CC16" s="691"/>
      <c r="CD16" s="691"/>
      <c r="CE16" s="691"/>
      <c r="CF16" s="691"/>
      <c r="CG16" s="691"/>
      <c r="CH16" s="691"/>
      <c r="CI16" s="691"/>
      <c r="CJ16" s="691"/>
      <c r="CK16" s="691"/>
      <c r="CL16" s="691"/>
      <c r="CM16" s="691"/>
      <c r="CN16" s="691"/>
      <c r="CO16" s="691"/>
      <c r="CP16" s="691"/>
      <c r="CQ16" s="691"/>
      <c r="CR16" s="691"/>
      <c r="CS16" s="691"/>
      <c r="CT16" s="691"/>
      <c r="CU16" s="691"/>
      <c r="CV16" s="691"/>
      <c r="CW16" s="691"/>
      <c r="CX16" s="691"/>
      <c r="CY16" s="691"/>
      <c r="CZ16" s="691"/>
      <c r="DA16" s="691"/>
      <c r="DB16" s="691"/>
      <c r="DC16" s="691"/>
      <c r="DD16" s="691"/>
      <c r="DE16" s="691"/>
      <c r="DF16" s="691"/>
      <c r="DG16" s="691"/>
      <c r="DH16" s="691"/>
      <c r="DI16" s="691"/>
      <c r="DJ16" s="691"/>
      <c r="DK16" s="691"/>
      <c r="DL16" s="691"/>
      <c r="DM16" s="691"/>
      <c r="DN16" s="691"/>
      <c r="DO16" s="691"/>
      <c r="DP16" s="691"/>
      <c r="DQ16" s="691"/>
      <c r="DR16" s="691"/>
      <c r="DS16" s="691"/>
      <c r="DT16" s="691"/>
      <c r="DU16" s="691"/>
      <c r="DV16" s="691"/>
      <c r="DW16" s="691"/>
      <c r="DX16" s="691"/>
      <c r="DY16" s="691"/>
      <c r="DZ16" s="691"/>
      <c r="EA16" s="691"/>
      <c r="EB16" s="691"/>
      <c r="EC16" s="691"/>
      <c r="ED16" s="691"/>
      <c r="EE16" s="691"/>
      <c r="EF16" s="691"/>
      <c r="EG16" s="691"/>
      <c r="EH16" s="691"/>
      <c r="EI16" s="691"/>
      <c r="EJ16" s="691"/>
      <c r="EK16" s="691"/>
      <c r="EL16" s="691"/>
      <c r="EM16" s="691"/>
      <c r="EN16" s="691"/>
      <c r="EO16" s="691"/>
      <c r="EP16" s="691"/>
      <c r="EQ16" s="691"/>
      <c r="ER16" s="691"/>
      <c r="ES16" s="691"/>
      <c r="ET16" s="691"/>
      <c r="EU16" s="691"/>
      <c r="EV16" s="691"/>
      <c r="EW16" s="691"/>
      <c r="EX16" s="691"/>
      <c r="EY16" s="691"/>
      <c r="EZ16" s="691"/>
      <c r="FA16" s="691"/>
      <c r="FB16" s="691"/>
      <c r="FC16" s="691"/>
      <c r="FD16" s="691"/>
      <c r="FE16" s="691"/>
      <c r="FF16" s="691"/>
      <c r="FG16" s="691"/>
      <c r="FH16" s="691"/>
      <c r="FI16" s="691"/>
      <c r="FJ16" s="691"/>
      <c r="FK16" s="691"/>
      <c r="FL16" s="691"/>
      <c r="FM16" s="691"/>
      <c r="FN16" s="691"/>
      <c r="FO16" s="691"/>
      <c r="FP16" s="691"/>
      <c r="FQ16" s="691"/>
      <c r="FR16" s="691"/>
      <c r="FS16" s="691"/>
      <c r="FT16" s="691"/>
      <c r="FU16" s="691"/>
      <c r="FV16" s="691"/>
      <c r="FW16" s="691"/>
      <c r="FX16" s="691"/>
      <c r="FY16" s="691"/>
      <c r="FZ16" s="691"/>
      <c r="GA16" s="691"/>
      <c r="GB16" s="691"/>
      <c r="GC16" s="691"/>
      <c r="GD16" s="691"/>
      <c r="GE16" s="691"/>
      <c r="GF16" s="691"/>
      <c r="GG16" s="691"/>
      <c r="GH16" s="691"/>
      <c r="GI16" s="691"/>
      <c r="GJ16" s="691"/>
      <c r="GK16" s="691"/>
      <c r="GL16" s="691"/>
      <c r="GM16" s="691"/>
      <c r="GN16" s="691"/>
      <c r="GO16" s="691"/>
      <c r="GP16" s="691"/>
      <c r="GQ16" s="691"/>
      <c r="GR16" s="691"/>
      <c r="GS16" s="691"/>
      <c r="GT16" s="691"/>
      <c r="GU16" s="691"/>
      <c r="GV16" s="691"/>
      <c r="GW16" s="691"/>
      <c r="GX16" s="691"/>
      <c r="GY16" s="691"/>
      <c r="GZ16" s="691"/>
      <c r="HA16" s="691"/>
      <c r="HB16" s="691"/>
      <c r="HC16" s="691"/>
      <c r="HD16" s="691"/>
      <c r="HE16" s="691"/>
      <c r="HF16" s="691"/>
      <c r="HG16" s="691"/>
      <c r="HH16" s="691"/>
      <c r="HI16" s="691"/>
      <c r="HJ16" s="691"/>
      <c r="HK16" s="691"/>
      <c r="HL16" s="691"/>
      <c r="HM16" s="691"/>
      <c r="HN16" s="691"/>
      <c r="HO16" s="691"/>
      <c r="HP16" s="691"/>
      <c r="HQ16" s="691"/>
      <c r="HR16" s="691"/>
      <c r="HS16" s="691"/>
      <c r="HT16" s="691"/>
      <c r="HU16" s="691"/>
      <c r="HV16" s="691"/>
      <c r="HW16" s="691"/>
      <c r="HX16" s="691"/>
      <c r="HY16" s="691"/>
      <c r="HZ16" s="691"/>
      <c r="IA16" s="691"/>
      <c r="IB16" s="691"/>
      <c r="IC16" s="691"/>
      <c r="ID16" s="691"/>
      <c r="IE16" s="691"/>
      <c r="IF16" s="691"/>
      <c r="IG16" s="691"/>
      <c r="IH16" s="691"/>
      <c r="II16" s="691"/>
      <c r="IJ16" s="691"/>
      <c r="IK16" s="691"/>
      <c r="IL16" s="691"/>
      <c r="IM16" s="691"/>
      <c r="IN16" s="691"/>
    </row>
    <row r="17" spans="2:248" s="692" customFormat="1" ht="15.75">
      <c r="B17"/>
      <c r="C17" s="5"/>
      <c r="D17" s="42"/>
      <c r="E17" s="42"/>
      <c r="F17" s="42"/>
      <c r="G17" s="42"/>
      <c r="H17" s="42"/>
      <c r="I17" s="42"/>
      <c r="J17" s="42"/>
      <c r="K17" s="42"/>
      <c r="L17" s="5"/>
      <c r="M17" s="5"/>
      <c r="N17"/>
      <c r="O17"/>
      <c r="P17"/>
      <c r="Q17"/>
      <c r="R17"/>
      <c r="S17"/>
      <c r="T17" s="691"/>
      <c r="U17" s="691"/>
      <c r="V17" s="691"/>
      <c r="W17" s="691"/>
      <c r="X17" s="691"/>
      <c r="Y17" s="691"/>
      <c r="Z17" s="691"/>
      <c r="AA17" s="691"/>
      <c r="AB17" s="691"/>
      <c r="AC17" s="691"/>
      <c r="AD17" s="691"/>
      <c r="AE17" s="691"/>
      <c r="AF17" s="691"/>
      <c r="AG17" s="691"/>
      <c r="AH17" s="691"/>
      <c r="AI17" s="691"/>
      <c r="AJ17" s="691"/>
      <c r="AK17" s="691"/>
      <c r="AL17" s="691"/>
      <c r="AM17" s="691"/>
      <c r="AN17" s="691"/>
      <c r="AO17" s="691"/>
      <c r="AP17" s="691"/>
      <c r="AQ17" s="691"/>
      <c r="AR17" s="691"/>
      <c r="AS17" s="691"/>
      <c r="AT17" s="691"/>
      <c r="AU17" s="691"/>
      <c r="AV17" s="691"/>
      <c r="AW17" s="691"/>
      <c r="AX17" s="691"/>
      <c r="AY17" s="691"/>
      <c r="AZ17" s="691"/>
      <c r="BA17" s="691"/>
      <c r="BB17" s="691"/>
      <c r="BC17" s="691"/>
      <c r="BD17" s="691"/>
      <c r="BE17" s="691"/>
      <c r="BF17" s="691"/>
      <c r="BG17" s="691"/>
      <c r="BH17" s="691"/>
      <c r="BI17" s="691"/>
      <c r="BJ17" s="691"/>
      <c r="BK17" s="691"/>
      <c r="BL17" s="691"/>
      <c r="BM17" s="691"/>
      <c r="BN17" s="691"/>
      <c r="BO17" s="691"/>
      <c r="BP17" s="691"/>
      <c r="BQ17" s="691"/>
      <c r="BR17" s="691"/>
      <c r="BS17" s="691"/>
      <c r="BT17" s="691"/>
      <c r="BU17" s="691"/>
      <c r="BV17" s="691"/>
      <c r="BW17" s="691"/>
      <c r="BX17" s="691"/>
      <c r="BY17" s="691"/>
      <c r="BZ17" s="691"/>
      <c r="CA17" s="691"/>
      <c r="CB17" s="691"/>
      <c r="CC17" s="691"/>
      <c r="CD17" s="691"/>
      <c r="CE17" s="691"/>
      <c r="CF17" s="691"/>
      <c r="CG17" s="691"/>
      <c r="CH17" s="691"/>
      <c r="CI17" s="691"/>
      <c r="CJ17" s="691"/>
      <c r="CK17" s="691"/>
      <c r="CL17" s="691"/>
      <c r="CM17" s="691"/>
      <c r="CN17" s="691"/>
      <c r="CO17" s="691"/>
      <c r="CP17" s="691"/>
      <c r="CQ17" s="691"/>
      <c r="CR17" s="691"/>
      <c r="CS17" s="691"/>
      <c r="CT17" s="691"/>
      <c r="CU17" s="691"/>
      <c r="CV17" s="691"/>
      <c r="CW17" s="691"/>
      <c r="CX17" s="691"/>
      <c r="CY17" s="691"/>
      <c r="CZ17" s="691"/>
      <c r="DA17" s="691"/>
      <c r="DB17" s="691"/>
      <c r="DC17" s="691"/>
      <c r="DD17" s="691"/>
      <c r="DE17" s="691"/>
      <c r="DF17" s="691"/>
      <c r="DG17" s="691"/>
      <c r="DH17" s="691"/>
      <c r="DI17" s="691"/>
      <c r="DJ17" s="691"/>
      <c r="DK17" s="691"/>
      <c r="DL17" s="691"/>
      <c r="DM17" s="691"/>
      <c r="DN17" s="691"/>
      <c r="DO17" s="691"/>
      <c r="DP17" s="691"/>
      <c r="DQ17" s="691"/>
      <c r="DR17" s="691"/>
      <c r="DS17" s="691"/>
      <c r="DT17" s="691"/>
      <c r="DU17" s="691"/>
      <c r="DV17" s="691"/>
      <c r="DW17" s="691"/>
      <c r="DX17" s="691"/>
      <c r="DY17" s="691"/>
      <c r="DZ17" s="691"/>
      <c r="EA17" s="691"/>
      <c r="EB17" s="691"/>
      <c r="EC17" s="691"/>
      <c r="ED17" s="691"/>
      <c r="EE17" s="691"/>
      <c r="EF17" s="691"/>
      <c r="EG17" s="691"/>
      <c r="EH17" s="691"/>
      <c r="EI17" s="691"/>
      <c r="EJ17" s="691"/>
      <c r="EK17" s="691"/>
      <c r="EL17" s="691"/>
      <c r="EM17" s="691"/>
      <c r="EN17" s="691"/>
      <c r="EO17" s="691"/>
      <c r="EP17" s="691"/>
      <c r="EQ17" s="691"/>
      <c r="ER17" s="691"/>
      <c r="ES17" s="691"/>
      <c r="ET17" s="691"/>
      <c r="EU17" s="691"/>
      <c r="EV17" s="691"/>
      <c r="EW17" s="691"/>
      <c r="EX17" s="691"/>
      <c r="EY17" s="691"/>
      <c r="EZ17" s="691"/>
      <c r="FA17" s="691"/>
      <c r="FB17" s="691"/>
      <c r="FC17" s="691"/>
      <c r="FD17" s="691"/>
      <c r="FE17" s="691"/>
      <c r="FF17" s="691"/>
      <c r="FG17" s="691"/>
      <c r="FH17" s="691"/>
      <c r="FI17" s="691"/>
      <c r="FJ17" s="691"/>
      <c r="FK17" s="691"/>
      <c r="FL17" s="691"/>
      <c r="FM17" s="691"/>
      <c r="FN17" s="691"/>
      <c r="FO17" s="691"/>
      <c r="FP17" s="691"/>
      <c r="FQ17" s="691"/>
      <c r="FR17" s="691"/>
      <c r="FS17" s="691"/>
      <c r="FT17" s="691"/>
      <c r="FU17" s="691"/>
      <c r="FV17" s="691"/>
      <c r="FW17" s="691"/>
      <c r="FX17" s="691"/>
      <c r="FY17" s="691"/>
      <c r="FZ17" s="691"/>
      <c r="GA17" s="691"/>
      <c r="GB17" s="691"/>
      <c r="GC17" s="691"/>
      <c r="GD17" s="691"/>
      <c r="GE17" s="691"/>
      <c r="GF17" s="691"/>
      <c r="GG17" s="691"/>
      <c r="GH17" s="691"/>
      <c r="GI17" s="691"/>
      <c r="GJ17" s="691"/>
      <c r="GK17" s="691"/>
      <c r="GL17" s="691"/>
      <c r="GM17" s="691"/>
      <c r="GN17" s="691"/>
      <c r="GO17" s="691"/>
      <c r="GP17" s="691"/>
      <c r="GQ17" s="691"/>
      <c r="GR17" s="691"/>
      <c r="GS17" s="691"/>
      <c r="GT17" s="691"/>
      <c r="GU17" s="691"/>
      <c r="GV17" s="691"/>
      <c r="GW17" s="691"/>
      <c r="GX17" s="691"/>
      <c r="GY17" s="691"/>
      <c r="GZ17" s="691"/>
      <c r="HA17" s="691"/>
      <c r="HB17" s="691"/>
      <c r="HC17" s="691"/>
      <c r="HD17" s="691"/>
      <c r="HE17" s="691"/>
      <c r="HF17" s="691"/>
      <c r="HG17" s="691"/>
      <c r="HH17" s="691"/>
      <c r="HI17" s="691"/>
      <c r="HJ17" s="691"/>
      <c r="HK17" s="691"/>
      <c r="HL17" s="691"/>
      <c r="HM17" s="691"/>
      <c r="HN17" s="691"/>
      <c r="HO17" s="691"/>
      <c r="HP17" s="691"/>
      <c r="HQ17" s="691"/>
      <c r="HR17" s="691"/>
      <c r="HS17" s="691"/>
      <c r="HT17" s="691"/>
      <c r="HU17" s="691"/>
      <c r="HV17" s="691"/>
      <c r="HW17" s="691"/>
      <c r="HX17" s="691"/>
      <c r="HY17" s="691"/>
      <c r="HZ17" s="691"/>
      <c r="IA17" s="691"/>
      <c r="IB17" s="691"/>
      <c r="IC17" s="691"/>
      <c r="ID17" s="691"/>
      <c r="IE17" s="691"/>
      <c r="IF17" s="691"/>
      <c r="IG17" s="691"/>
      <c r="IH17" s="691"/>
      <c r="II17" s="691"/>
      <c r="IJ17" s="691"/>
      <c r="IK17" s="691"/>
      <c r="IL17" s="691"/>
      <c r="IM17" s="691"/>
      <c r="IN17" s="691"/>
    </row>
    <row r="18" spans="2:248" customFormat="1" ht="15.75">
      <c r="C18" s="38" t="s">
        <v>258</v>
      </c>
      <c r="D18" s="693"/>
      <c r="E18" s="693"/>
      <c r="F18" s="693"/>
      <c r="G18" s="693"/>
      <c r="H18" s="693"/>
      <c r="I18" s="693"/>
      <c r="J18" s="693"/>
      <c r="K18" s="693"/>
      <c r="L18" s="693"/>
      <c r="M18" s="693"/>
    </row>
    <row r="19" spans="2:248" customFormat="1" ht="31.35" customHeight="1">
      <c r="C19" s="694" t="s">
        <v>87</v>
      </c>
      <c r="D19" s="694"/>
      <c r="E19" s="694" t="s">
        <v>2074</v>
      </c>
      <c r="F19" s="693"/>
      <c r="G19" s="693"/>
      <c r="H19" s="46"/>
      <c r="I19" s="685"/>
      <c r="J19" s="685"/>
      <c r="K19" s="685"/>
      <c r="L19" s="685"/>
      <c r="M19" s="695"/>
      <c r="N19" s="685"/>
    </row>
    <row r="20" spans="2:248" customFormat="1" ht="15.75">
      <c r="C20" s="696"/>
      <c r="D20" s="696"/>
      <c r="E20" s="696" t="s">
        <v>2075</v>
      </c>
      <c r="F20" s="693"/>
      <c r="G20" s="693"/>
      <c r="H20" s="46"/>
      <c r="I20" s="685"/>
      <c r="J20" s="685"/>
      <c r="K20" s="685"/>
      <c r="L20" s="685"/>
      <c r="M20" s="695"/>
      <c r="N20" s="685"/>
    </row>
    <row r="21" spans="2:248" s="692" customFormat="1" ht="15.75">
      <c r="B21"/>
      <c r="C21" s="22" t="s">
        <v>147</v>
      </c>
      <c r="D21" s="22"/>
      <c r="E21" s="40">
        <v>8</v>
      </c>
      <c r="F21" s="693"/>
      <c r="G21" s="693"/>
      <c r="H21" s="42"/>
      <c r="O21" s="691"/>
      <c r="P21" s="691"/>
      <c r="Q21" s="691"/>
      <c r="R21" s="691"/>
      <c r="S21" s="691"/>
      <c r="T21" s="691"/>
      <c r="U21" s="691"/>
      <c r="V21" s="691"/>
      <c r="W21" s="691"/>
      <c r="X21" s="691"/>
      <c r="Y21" s="691"/>
      <c r="Z21" s="691"/>
      <c r="AA21" s="691"/>
      <c r="AB21" s="691"/>
      <c r="AC21" s="691"/>
      <c r="AD21" s="691"/>
      <c r="AE21" s="691"/>
      <c r="AF21" s="691"/>
      <c r="AG21" s="691"/>
      <c r="AH21" s="691"/>
      <c r="AI21" s="691"/>
      <c r="AJ21" s="691"/>
      <c r="AK21" s="691"/>
      <c r="AL21" s="691"/>
      <c r="AM21" s="691"/>
      <c r="AN21" s="691"/>
      <c r="AO21" s="691"/>
      <c r="AP21" s="691"/>
      <c r="AQ21" s="691"/>
      <c r="AR21" s="691"/>
      <c r="AS21" s="691"/>
      <c r="AT21" s="691"/>
      <c r="AU21" s="691"/>
      <c r="AV21" s="691"/>
      <c r="AW21" s="691"/>
      <c r="AX21" s="691"/>
      <c r="AY21" s="691"/>
      <c r="AZ21" s="691"/>
      <c r="BA21" s="691"/>
      <c r="BB21" s="691"/>
      <c r="BC21" s="691"/>
      <c r="BD21" s="691"/>
      <c r="BE21" s="691"/>
      <c r="BF21" s="691"/>
      <c r="BG21" s="691"/>
      <c r="BH21" s="691"/>
      <c r="BI21" s="691"/>
      <c r="BJ21" s="691"/>
      <c r="BK21" s="691"/>
      <c r="BL21" s="691"/>
      <c r="BM21" s="691"/>
      <c r="BN21" s="691"/>
      <c r="BO21" s="691"/>
      <c r="BP21" s="691"/>
      <c r="BQ21" s="691"/>
      <c r="BR21" s="691"/>
      <c r="BS21" s="691"/>
      <c r="BT21" s="691"/>
      <c r="BU21" s="691"/>
      <c r="BV21" s="691"/>
      <c r="BW21" s="691"/>
      <c r="BX21" s="691"/>
      <c r="BY21" s="691"/>
      <c r="BZ21" s="691"/>
      <c r="CA21" s="691"/>
      <c r="CB21" s="691"/>
      <c r="CC21" s="691"/>
      <c r="CD21" s="691"/>
      <c r="CE21" s="691"/>
      <c r="CF21" s="691"/>
      <c r="CG21" s="691"/>
      <c r="CH21" s="691"/>
      <c r="CI21" s="691"/>
      <c r="CJ21" s="691"/>
      <c r="CK21" s="691"/>
      <c r="CL21" s="691"/>
      <c r="CM21" s="691"/>
      <c r="CN21" s="691"/>
      <c r="CO21" s="691"/>
      <c r="CP21" s="691"/>
      <c r="CQ21" s="691"/>
      <c r="CR21" s="691"/>
      <c r="CS21" s="691"/>
      <c r="CT21" s="691"/>
      <c r="CU21" s="691"/>
      <c r="CV21" s="691"/>
      <c r="CW21" s="691"/>
      <c r="CX21" s="691"/>
      <c r="CY21" s="691"/>
      <c r="CZ21" s="691"/>
      <c r="DA21" s="691"/>
      <c r="DB21" s="691"/>
      <c r="DC21" s="691"/>
      <c r="DD21" s="691"/>
      <c r="DE21" s="691"/>
      <c r="DF21" s="691"/>
      <c r="DG21" s="691"/>
      <c r="DH21" s="691"/>
      <c r="DI21" s="691"/>
      <c r="DJ21" s="691"/>
      <c r="DK21" s="691"/>
      <c r="DL21" s="691"/>
      <c r="DM21" s="691"/>
      <c r="DN21" s="691"/>
      <c r="DO21" s="691"/>
      <c r="DP21" s="691"/>
      <c r="DQ21" s="691"/>
      <c r="DR21" s="691"/>
      <c r="DS21" s="691"/>
      <c r="DT21" s="691"/>
      <c r="DU21" s="691"/>
      <c r="DV21" s="691"/>
      <c r="DW21" s="691"/>
      <c r="DX21" s="691"/>
      <c r="DY21" s="691"/>
      <c r="DZ21" s="691"/>
      <c r="EA21" s="691"/>
      <c r="EB21" s="691"/>
      <c r="EC21" s="691"/>
      <c r="ED21" s="691"/>
      <c r="EE21" s="691"/>
      <c r="EF21" s="691"/>
      <c r="EG21" s="691"/>
      <c r="EH21" s="691"/>
      <c r="EI21" s="691"/>
      <c r="EJ21" s="691"/>
      <c r="EK21" s="691"/>
      <c r="EL21" s="691"/>
      <c r="EM21" s="691"/>
      <c r="EN21" s="691"/>
      <c r="EO21" s="691"/>
      <c r="EP21" s="691"/>
      <c r="EQ21" s="691"/>
      <c r="ER21" s="691"/>
      <c r="ES21" s="691"/>
      <c r="ET21" s="691"/>
      <c r="EU21" s="691"/>
      <c r="EV21" s="691"/>
      <c r="EW21" s="691"/>
      <c r="EX21" s="691"/>
      <c r="EY21" s="691"/>
      <c r="EZ21" s="691"/>
      <c r="FA21" s="691"/>
      <c r="FB21" s="691"/>
      <c r="FC21" s="691"/>
      <c r="FD21" s="691"/>
      <c r="FE21" s="691"/>
      <c r="FF21" s="691"/>
      <c r="FG21" s="691"/>
      <c r="FH21" s="691"/>
      <c r="FI21" s="691"/>
      <c r="FJ21" s="691"/>
      <c r="FK21" s="691"/>
      <c r="FL21" s="691"/>
      <c r="FM21" s="691"/>
      <c r="FN21" s="691"/>
      <c r="FO21" s="691"/>
      <c r="FP21" s="691"/>
      <c r="FQ21" s="691"/>
      <c r="FR21" s="691"/>
      <c r="FS21" s="691"/>
      <c r="FT21" s="691"/>
      <c r="FU21" s="691"/>
      <c r="FV21" s="691"/>
      <c r="FW21" s="691"/>
      <c r="FX21" s="691"/>
      <c r="FY21" s="691"/>
      <c r="FZ21" s="691"/>
      <c r="GA21" s="691"/>
      <c r="GB21" s="691"/>
      <c r="GC21" s="691"/>
      <c r="GD21" s="691"/>
      <c r="GE21" s="691"/>
      <c r="GF21" s="691"/>
      <c r="GG21" s="691"/>
      <c r="GH21" s="691"/>
      <c r="GI21" s="691"/>
      <c r="GJ21" s="691"/>
      <c r="GK21" s="691"/>
      <c r="GL21" s="691"/>
      <c r="GM21" s="691"/>
      <c r="GN21" s="691"/>
      <c r="GO21" s="691"/>
      <c r="GP21" s="691"/>
      <c r="GQ21" s="691"/>
      <c r="GR21" s="691"/>
      <c r="GS21" s="691"/>
      <c r="GT21" s="691"/>
      <c r="GU21" s="691"/>
      <c r="GV21" s="691"/>
      <c r="GW21" s="691"/>
      <c r="GX21" s="691"/>
      <c r="GY21" s="691"/>
      <c r="GZ21" s="691"/>
      <c r="HA21" s="691"/>
      <c r="HB21" s="691"/>
      <c r="HC21" s="691"/>
      <c r="HD21" s="691"/>
      <c r="HE21" s="691"/>
      <c r="HF21" s="691"/>
      <c r="HG21" s="691"/>
      <c r="HH21" s="691"/>
      <c r="HI21" s="691"/>
      <c r="HJ21" s="691"/>
      <c r="HK21" s="691"/>
      <c r="HL21" s="691"/>
      <c r="HM21" s="691"/>
      <c r="HN21" s="691"/>
      <c r="HO21" s="691"/>
      <c r="HP21" s="691"/>
      <c r="HQ21" s="691"/>
      <c r="HR21" s="691"/>
      <c r="HS21" s="691"/>
      <c r="HT21" s="691"/>
      <c r="HU21" s="691"/>
      <c r="HV21" s="691"/>
      <c r="HW21" s="691"/>
      <c r="HX21" s="691"/>
      <c r="HY21" s="691"/>
      <c r="HZ21" s="691"/>
      <c r="IA21" s="691"/>
      <c r="IB21" s="691"/>
      <c r="IC21" s="691"/>
      <c r="ID21" s="691"/>
      <c r="IE21" s="691"/>
      <c r="IF21" s="691"/>
      <c r="IG21" s="691"/>
      <c r="IH21" s="691"/>
      <c r="II21" s="691"/>
      <c r="IJ21" s="691"/>
      <c r="IK21" s="691"/>
      <c r="IL21" s="691"/>
      <c r="IM21" s="691"/>
      <c r="IN21" s="691"/>
    </row>
    <row r="22" spans="2:248" s="692" customFormat="1" ht="15.75">
      <c r="B22"/>
      <c r="C22" s="22" t="s">
        <v>14</v>
      </c>
      <c r="D22" s="22"/>
      <c r="E22" s="40">
        <v>2.4</v>
      </c>
      <c r="F22" s="693"/>
      <c r="G22" s="693"/>
      <c r="H22" s="42"/>
      <c r="O22" s="691"/>
      <c r="P22" s="691"/>
      <c r="Q22" s="691"/>
      <c r="R22" s="691"/>
      <c r="S22" s="691"/>
      <c r="T22" s="691"/>
      <c r="U22" s="691"/>
      <c r="V22" s="691"/>
      <c r="W22" s="691"/>
      <c r="X22" s="691"/>
      <c r="Y22" s="691"/>
      <c r="Z22" s="691"/>
      <c r="AA22" s="691"/>
      <c r="AB22" s="691"/>
      <c r="AC22" s="691"/>
      <c r="AD22" s="691"/>
      <c r="AE22" s="691"/>
      <c r="AF22" s="691"/>
      <c r="AG22" s="691"/>
      <c r="AH22" s="691"/>
      <c r="AI22" s="691"/>
      <c r="AJ22" s="691"/>
      <c r="AK22" s="691"/>
      <c r="AL22" s="691"/>
      <c r="AM22" s="691"/>
      <c r="AN22" s="691"/>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691"/>
      <c r="BU22" s="691"/>
      <c r="BV22" s="691"/>
      <c r="BW22" s="691"/>
      <c r="BX22" s="691"/>
      <c r="BY22" s="691"/>
      <c r="BZ22" s="691"/>
      <c r="CA22" s="691"/>
      <c r="CB22" s="691"/>
      <c r="CC22" s="691"/>
      <c r="CD22" s="691"/>
      <c r="CE22" s="691"/>
      <c r="CF22" s="691"/>
      <c r="CG22" s="691"/>
      <c r="CH22" s="691"/>
      <c r="CI22" s="691"/>
      <c r="CJ22" s="691"/>
      <c r="CK22" s="691"/>
      <c r="CL22" s="691"/>
      <c r="CM22" s="691"/>
      <c r="CN22" s="691"/>
      <c r="CO22" s="691"/>
      <c r="CP22" s="691"/>
      <c r="CQ22" s="691"/>
      <c r="CR22" s="691"/>
      <c r="CS22" s="691"/>
      <c r="CT22" s="691"/>
      <c r="CU22" s="691"/>
      <c r="CV22" s="691"/>
      <c r="CW22" s="691"/>
      <c r="CX22" s="691"/>
      <c r="CY22" s="691"/>
      <c r="CZ22" s="691"/>
      <c r="DA22" s="691"/>
      <c r="DB22" s="691"/>
      <c r="DC22" s="691"/>
      <c r="DD22" s="691"/>
      <c r="DE22" s="691"/>
      <c r="DF22" s="691"/>
      <c r="DG22" s="691"/>
      <c r="DH22" s="691"/>
      <c r="DI22" s="691"/>
      <c r="DJ22" s="691"/>
      <c r="DK22" s="691"/>
      <c r="DL22" s="691"/>
      <c r="DM22" s="691"/>
      <c r="DN22" s="691"/>
      <c r="DO22" s="691"/>
      <c r="DP22" s="691"/>
      <c r="DQ22" s="691"/>
      <c r="DR22" s="691"/>
      <c r="DS22" s="691"/>
      <c r="DT22" s="691"/>
      <c r="DU22" s="691"/>
      <c r="DV22" s="691"/>
      <c r="DW22" s="691"/>
      <c r="DX22" s="691"/>
      <c r="DY22" s="691"/>
      <c r="DZ22" s="691"/>
      <c r="EA22" s="691"/>
      <c r="EB22" s="691"/>
      <c r="EC22" s="691"/>
      <c r="ED22" s="691"/>
      <c r="EE22" s="691"/>
      <c r="EF22" s="691"/>
      <c r="EG22" s="691"/>
      <c r="EH22" s="691"/>
      <c r="EI22" s="691"/>
      <c r="EJ22" s="691"/>
      <c r="EK22" s="691"/>
      <c r="EL22" s="691"/>
      <c r="EM22" s="691"/>
      <c r="EN22" s="691"/>
      <c r="EO22" s="691"/>
      <c r="EP22" s="691"/>
      <c r="EQ22" s="691"/>
      <c r="ER22" s="691"/>
      <c r="ES22" s="691"/>
      <c r="ET22" s="691"/>
      <c r="EU22" s="691"/>
      <c r="EV22" s="691"/>
      <c r="EW22" s="691"/>
      <c r="EX22" s="691"/>
      <c r="EY22" s="691"/>
      <c r="EZ22" s="691"/>
      <c r="FA22" s="691"/>
      <c r="FB22" s="691"/>
      <c r="FC22" s="691"/>
      <c r="FD22" s="691"/>
      <c r="FE22" s="691"/>
      <c r="FF22" s="691"/>
      <c r="FG22" s="691"/>
      <c r="FH22" s="691"/>
      <c r="FI22" s="691"/>
      <c r="FJ22" s="691"/>
      <c r="FK22" s="691"/>
      <c r="FL22" s="691"/>
      <c r="FM22" s="691"/>
      <c r="FN22" s="691"/>
      <c r="FO22" s="691"/>
      <c r="FP22" s="691"/>
      <c r="FQ22" s="691"/>
      <c r="FR22" s="691"/>
      <c r="FS22" s="691"/>
      <c r="FT22" s="691"/>
      <c r="FU22" s="691"/>
      <c r="FV22" s="691"/>
      <c r="FW22" s="691"/>
      <c r="FX22" s="691"/>
      <c r="FY22" s="691"/>
      <c r="FZ22" s="691"/>
      <c r="GA22" s="691"/>
      <c r="GB22" s="691"/>
      <c r="GC22" s="691"/>
      <c r="GD22" s="691"/>
      <c r="GE22" s="691"/>
      <c r="GF22" s="691"/>
      <c r="GG22" s="691"/>
      <c r="GH22" s="691"/>
      <c r="GI22" s="691"/>
      <c r="GJ22" s="691"/>
      <c r="GK22" s="691"/>
      <c r="GL22" s="691"/>
      <c r="GM22" s="691"/>
      <c r="GN22" s="691"/>
      <c r="GO22" s="691"/>
      <c r="GP22" s="691"/>
      <c r="GQ22" s="691"/>
      <c r="GR22" s="691"/>
      <c r="GS22" s="691"/>
      <c r="GT22" s="691"/>
      <c r="GU22" s="691"/>
      <c r="GV22" s="691"/>
      <c r="GW22" s="691"/>
      <c r="GX22" s="691"/>
      <c r="GY22" s="691"/>
      <c r="GZ22" s="691"/>
      <c r="HA22" s="691"/>
      <c r="HB22" s="691"/>
      <c r="HC22" s="691"/>
      <c r="HD22" s="691"/>
      <c r="HE22" s="691"/>
      <c r="HF22" s="691"/>
      <c r="HG22" s="691"/>
      <c r="HH22" s="691"/>
      <c r="HI22" s="691"/>
      <c r="HJ22" s="691"/>
      <c r="HK22" s="691"/>
      <c r="HL22" s="691"/>
      <c r="HM22" s="691"/>
      <c r="HN22" s="691"/>
      <c r="HO22" s="691"/>
      <c r="HP22" s="691"/>
      <c r="HQ22" s="691"/>
      <c r="HR22" s="691"/>
      <c r="HS22" s="691"/>
      <c r="HT22" s="691"/>
      <c r="HU22" s="691"/>
      <c r="HV22" s="691"/>
      <c r="HW22" s="691"/>
      <c r="HX22" s="691"/>
      <c r="HY22" s="691"/>
      <c r="HZ22" s="691"/>
      <c r="IA22" s="691"/>
      <c r="IB22" s="691"/>
      <c r="IC22" s="691"/>
      <c r="ID22" s="691"/>
      <c r="IE22" s="691"/>
      <c r="IF22" s="691"/>
      <c r="IG22" s="691"/>
      <c r="IH22" s="691"/>
      <c r="II22" s="691"/>
      <c r="IJ22" s="691"/>
      <c r="IK22" s="691"/>
      <c r="IL22" s="691"/>
      <c r="IM22" s="691"/>
      <c r="IN22" s="691"/>
    </row>
    <row r="23" spans="2:248" s="692" customFormat="1" ht="15.75">
      <c r="B23"/>
      <c r="C23" s="22" t="s">
        <v>151</v>
      </c>
      <c r="D23" s="22"/>
      <c r="E23" s="40">
        <v>2</v>
      </c>
      <c r="F23" s="693"/>
      <c r="G23" s="693"/>
      <c r="H23" s="42"/>
      <c r="O23" s="691"/>
      <c r="P23" s="691"/>
      <c r="Q23" s="691"/>
      <c r="R23" s="691"/>
      <c r="S23" s="691"/>
      <c r="T23" s="691"/>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1"/>
      <c r="BU23" s="691"/>
      <c r="BV23" s="691"/>
      <c r="BW23" s="691"/>
      <c r="BX23" s="691"/>
      <c r="BY23" s="691"/>
      <c r="BZ23" s="691"/>
      <c r="CA23" s="691"/>
      <c r="CB23" s="691"/>
      <c r="CC23" s="691"/>
      <c r="CD23" s="691"/>
      <c r="CE23" s="691"/>
      <c r="CF23" s="691"/>
      <c r="CG23" s="691"/>
      <c r="CH23" s="691"/>
      <c r="CI23" s="691"/>
      <c r="CJ23" s="691"/>
      <c r="CK23" s="691"/>
      <c r="CL23" s="691"/>
      <c r="CM23" s="691"/>
      <c r="CN23" s="691"/>
      <c r="CO23" s="691"/>
      <c r="CP23" s="691"/>
      <c r="CQ23" s="691"/>
      <c r="CR23" s="691"/>
      <c r="CS23" s="691"/>
      <c r="CT23" s="691"/>
      <c r="CU23" s="691"/>
      <c r="CV23" s="691"/>
      <c r="CW23" s="691"/>
      <c r="CX23" s="691"/>
      <c r="CY23" s="691"/>
      <c r="CZ23" s="691"/>
      <c r="DA23" s="691"/>
      <c r="DB23" s="691"/>
      <c r="DC23" s="691"/>
      <c r="DD23" s="691"/>
      <c r="DE23" s="691"/>
      <c r="DF23" s="691"/>
      <c r="DG23" s="691"/>
      <c r="DH23" s="691"/>
      <c r="DI23" s="691"/>
      <c r="DJ23" s="691"/>
      <c r="DK23" s="691"/>
      <c r="DL23" s="691"/>
      <c r="DM23" s="691"/>
      <c r="DN23" s="691"/>
      <c r="DO23" s="691"/>
      <c r="DP23" s="691"/>
      <c r="DQ23" s="691"/>
      <c r="DR23" s="691"/>
      <c r="DS23" s="691"/>
      <c r="DT23" s="691"/>
      <c r="DU23" s="691"/>
      <c r="DV23" s="691"/>
      <c r="DW23" s="691"/>
      <c r="DX23" s="691"/>
      <c r="DY23" s="691"/>
      <c r="DZ23" s="691"/>
      <c r="EA23" s="691"/>
      <c r="EB23" s="691"/>
      <c r="EC23" s="691"/>
      <c r="ED23" s="691"/>
      <c r="EE23" s="691"/>
      <c r="EF23" s="691"/>
      <c r="EG23" s="691"/>
      <c r="EH23" s="691"/>
      <c r="EI23" s="691"/>
      <c r="EJ23" s="691"/>
      <c r="EK23" s="691"/>
      <c r="EL23" s="691"/>
      <c r="EM23" s="691"/>
      <c r="EN23" s="691"/>
      <c r="EO23" s="691"/>
      <c r="EP23" s="691"/>
      <c r="EQ23" s="691"/>
      <c r="ER23" s="691"/>
      <c r="ES23" s="691"/>
      <c r="ET23" s="691"/>
      <c r="EU23" s="691"/>
      <c r="EV23" s="691"/>
      <c r="EW23" s="691"/>
      <c r="EX23" s="691"/>
      <c r="EY23" s="691"/>
      <c r="EZ23" s="691"/>
      <c r="FA23" s="691"/>
      <c r="FB23" s="691"/>
      <c r="FC23" s="691"/>
      <c r="FD23" s="691"/>
      <c r="FE23" s="691"/>
      <c r="FF23" s="691"/>
      <c r="FG23" s="691"/>
      <c r="FH23" s="691"/>
      <c r="FI23" s="691"/>
      <c r="FJ23" s="691"/>
      <c r="FK23" s="691"/>
      <c r="FL23" s="691"/>
      <c r="FM23" s="691"/>
      <c r="FN23" s="691"/>
      <c r="FO23" s="691"/>
      <c r="FP23" s="691"/>
      <c r="FQ23" s="691"/>
      <c r="FR23" s="691"/>
      <c r="FS23" s="691"/>
      <c r="FT23" s="691"/>
      <c r="FU23" s="691"/>
      <c r="FV23" s="691"/>
      <c r="FW23" s="691"/>
      <c r="FX23" s="691"/>
      <c r="FY23" s="691"/>
      <c r="FZ23" s="691"/>
      <c r="GA23" s="691"/>
      <c r="GB23" s="691"/>
      <c r="GC23" s="691"/>
      <c r="GD23" s="691"/>
      <c r="GE23" s="691"/>
      <c r="GF23" s="691"/>
      <c r="GG23" s="691"/>
      <c r="GH23" s="691"/>
      <c r="GI23" s="691"/>
      <c r="GJ23" s="691"/>
      <c r="GK23" s="691"/>
      <c r="GL23" s="691"/>
      <c r="GM23" s="691"/>
      <c r="GN23" s="691"/>
      <c r="GO23" s="691"/>
      <c r="GP23" s="691"/>
      <c r="GQ23" s="691"/>
      <c r="GR23" s="691"/>
      <c r="GS23" s="691"/>
      <c r="GT23" s="691"/>
      <c r="GU23" s="691"/>
      <c r="GV23" s="691"/>
      <c r="GW23" s="691"/>
      <c r="GX23" s="691"/>
      <c r="GY23" s="691"/>
      <c r="GZ23" s="691"/>
      <c r="HA23" s="691"/>
      <c r="HB23" s="691"/>
      <c r="HC23" s="691"/>
      <c r="HD23" s="691"/>
      <c r="HE23" s="691"/>
      <c r="HF23" s="691"/>
      <c r="HG23" s="691"/>
      <c r="HH23" s="691"/>
      <c r="HI23" s="691"/>
      <c r="HJ23" s="691"/>
      <c r="HK23" s="691"/>
      <c r="HL23" s="691"/>
      <c r="HM23" s="691"/>
      <c r="HN23" s="691"/>
      <c r="HO23" s="691"/>
      <c r="HP23" s="691"/>
      <c r="HQ23" s="691"/>
      <c r="HR23" s="691"/>
      <c r="HS23" s="691"/>
      <c r="HT23" s="691"/>
      <c r="HU23" s="691"/>
      <c r="HV23" s="691"/>
      <c r="HW23" s="691"/>
      <c r="HX23" s="691"/>
      <c r="HY23" s="691"/>
      <c r="HZ23" s="691"/>
      <c r="IA23" s="691"/>
      <c r="IB23" s="691"/>
      <c r="IC23" s="691"/>
      <c r="ID23" s="691"/>
      <c r="IE23" s="691"/>
      <c r="IF23" s="691"/>
      <c r="IG23" s="691"/>
      <c r="IH23" s="691"/>
      <c r="II23" s="691"/>
      <c r="IJ23" s="691"/>
      <c r="IK23" s="691"/>
      <c r="IL23" s="691"/>
      <c r="IM23" s="691"/>
      <c r="IN23" s="691"/>
    </row>
    <row r="24" spans="2:248" s="692" customFormat="1" ht="15.75">
      <c r="B24"/>
      <c r="C24" s="22" t="s">
        <v>152</v>
      </c>
      <c r="D24" s="22"/>
      <c r="E24" s="40">
        <v>1.7</v>
      </c>
      <c r="F24" s="693"/>
      <c r="G24" s="693"/>
      <c r="H24" s="42"/>
      <c r="O24" s="691"/>
      <c r="P24" s="691"/>
      <c r="Q24" s="691"/>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1"/>
      <c r="AV24" s="691"/>
      <c r="AW24" s="691"/>
      <c r="AX24" s="691"/>
      <c r="AY24" s="691"/>
      <c r="AZ24" s="691"/>
      <c r="BA24" s="691"/>
      <c r="BB24" s="691"/>
      <c r="BC24" s="691"/>
      <c r="BD24" s="691"/>
      <c r="BE24" s="691"/>
      <c r="BF24" s="691"/>
      <c r="BG24" s="691"/>
      <c r="BH24" s="691"/>
      <c r="BI24" s="691"/>
      <c r="BJ24" s="691"/>
      <c r="BK24" s="691"/>
      <c r="BL24" s="691"/>
      <c r="BM24" s="691"/>
      <c r="BN24" s="691"/>
      <c r="BO24" s="691"/>
      <c r="BP24" s="691"/>
      <c r="BQ24" s="691"/>
      <c r="BR24" s="691"/>
      <c r="BS24" s="691"/>
      <c r="BT24" s="691"/>
      <c r="BU24" s="691"/>
      <c r="BV24" s="691"/>
      <c r="BW24" s="691"/>
      <c r="BX24" s="691"/>
      <c r="BY24" s="691"/>
      <c r="BZ24" s="691"/>
      <c r="CA24" s="691"/>
      <c r="CB24" s="691"/>
      <c r="CC24" s="691"/>
      <c r="CD24" s="691"/>
      <c r="CE24" s="691"/>
      <c r="CF24" s="691"/>
      <c r="CG24" s="691"/>
      <c r="CH24" s="691"/>
      <c r="CI24" s="691"/>
      <c r="CJ24" s="691"/>
      <c r="CK24" s="691"/>
      <c r="CL24" s="691"/>
      <c r="CM24" s="691"/>
      <c r="CN24" s="691"/>
      <c r="CO24" s="691"/>
      <c r="CP24" s="691"/>
      <c r="CQ24" s="691"/>
      <c r="CR24" s="691"/>
      <c r="CS24" s="691"/>
      <c r="CT24" s="691"/>
      <c r="CU24" s="691"/>
      <c r="CV24" s="691"/>
      <c r="CW24" s="691"/>
      <c r="CX24" s="691"/>
      <c r="CY24" s="691"/>
      <c r="CZ24" s="691"/>
      <c r="DA24" s="691"/>
      <c r="DB24" s="691"/>
      <c r="DC24" s="691"/>
      <c r="DD24" s="691"/>
      <c r="DE24" s="691"/>
      <c r="DF24" s="691"/>
      <c r="DG24" s="691"/>
      <c r="DH24" s="691"/>
      <c r="DI24" s="691"/>
      <c r="DJ24" s="691"/>
      <c r="DK24" s="691"/>
      <c r="DL24" s="691"/>
      <c r="DM24" s="691"/>
      <c r="DN24" s="691"/>
      <c r="DO24" s="691"/>
      <c r="DP24" s="691"/>
      <c r="DQ24" s="691"/>
      <c r="DR24" s="691"/>
      <c r="DS24" s="691"/>
      <c r="DT24" s="691"/>
      <c r="DU24" s="691"/>
      <c r="DV24" s="691"/>
      <c r="DW24" s="691"/>
      <c r="DX24" s="691"/>
      <c r="DY24" s="691"/>
      <c r="DZ24" s="691"/>
      <c r="EA24" s="691"/>
      <c r="EB24" s="691"/>
      <c r="EC24" s="691"/>
      <c r="ED24" s="691"/>
      <c r="EE24" s="691"/>
      <c r="EF24" s="691"/>
      <c r="EG24" s="691"/>
      <c r="EH24" s="691"/>
      <c r="EI24" s="691"/>
      <c r="EJ24" s="691"/>
      <c r="EK24" s="691"/>
      <c r="EL24" s="691"/>
      <c r="EM24" s="691"/>
      <c r="EN24" s="691"/>
      <c r="EO24" s="691"/>
      <c r="EP24" s="691"/>
      <c r="EQ24" s="691"/>
      <c r="ER24" s="691"/>
      <c r="ES24" s="691"/>
      <c r="ET24" s="691"/>
      <c r="EU24" s="691"/>
      <c r="EV24" s="691"/>
      <c r="EW24" s="691"/>
      <c r="EX24" s="691"/>
      <c r="EY24" s="691"/>
      <c r="EZ24" s="691"/>
      <c r="FA24" s="691"/>
      <c r="FB24" s="691"/>
      <c r="FC24" s="691"/>
      <c r="FD24" s="691"/>
      <c r="FE24" s="691"/>
      <c r="FF24" s="691"/>
      <c r="FG24" s="691"/>
      <c r="FH24" s="691"/>
      <c r="FI24" s="691"/>
      <c r="FJ24" s="691"/>
      <c r="FK24" s="691"/>
      <c r="FL24" s="691"/>
      <c r="FM24" s="691"/>
      <c r="FN24" s="691"/>
      <c r="FO24" s="691"/>
      <c r="FP24" s="691"/>
      <c r="FQ24" s="691"/>
      <c r="FR24" s="691"/>
      <c r="FS24" s="691"/>
      <c r="FT24" s="691"/>
      <c r="FU24" s="691"/>
      <c r="FV24" s="691"/>
      <c r="FW24" s="691"/>
      <c r="FX24" s="691"/>
      <c r="FY24" s="691"/>
      <c r="FZ24" s="691"/>
      <c r="GA24" s="691"/>
      <c r="GB24" s="691"/>
      <c r="GC24" s="691"/>
      <c r="GD24" s="691"/>
      <c r="GE24" s="691"/>
      <c r="GF24" s="691"/>
      <c r="GG24" s="691"/>
      <c r="GH24" s="691"/>
      <c r="GI24" s="691"/>
      <c r="GJ24" s="691"/>
      <c r="GK24" s="691"/>
      <c r="GL24" s="691"/>
      <c r="GM24" s="691"/>
      <c r="GN24" s="691"/>
      <c r="GO24" s="691"/>
      <c r="GP24" s="691"/>
      <c r="GQ24" s="691"/>
      <c r="GR24" s="691"/>
      <c r="GS24" s="691"/>
      <c r="GT24" s="691"/>
      <c r="GU24" s="691"/>
      <c r="GV24" s="691"/>
      <c r="GW24" s="691"/>
      <c r="GX24" s="691"/>
      <c r="GY24" s="691"/>
      <c r="GZ24" s="691"/>
      <c r="HA24" s="691"/>
      <c r="HB24" s="691"/>
      <c r="HC24" s="691"/>
      <c r="HD24" s="691"/>
      <c r="HE24" s="691"/>
      <c r="HF24" s="691"/>
      <c r="HG24" s="691"/>
      <c r="HH24" s="691"/>
      <c r="HI24" s="691"/>
      <c r="HJ24" s="691"/>
      <c r="HK24" s="691"/>
      <c r="HL24" s="691"/>
      <c r="HM24" s="691"/>
      <c r="HN24" s="691"/>
      <c r="HO24" s="691"/>
      <c r="HP24" s="691"/>
      <c r="HQ24" s="691"/>
      <c r="HR24" s="691"/>
      <c r="HS24" s="691"/>
      <c r="HT24" s="691"/>
      <c r="HU24" s="691"/>
      <c r="HV24" s="691"/>
      <c r="HW24" s="691"/>
      <c r="HX24" s="691"/>
      <c r="HY24" s="691"/>
      <c r="HZ24" s="691"/>
      <c r="IA24" s="691"/>
      <c r="IB24" s="691"/>
      <c r="IC24" s="691"/>
      <c r="ID24" s="691"/>
      <c r="IE24" s="691"/>
      <c r="IF24" s="691"/>
      <c r="IG24" s="691"/>
      <c r="IH24" s="691"/>
      <c r="II24" s="691"/>
      <c r="IJ24" s="691"/>
      <c r="IK24" s="691"/>
      <c r="IL24" s="691"/>
      <c r="IM24" s="691"/>
      <c r="IN24" s="691"/>
    </row>
    <row r="25" spans="2:248" s="692" customFormat="1" ht="15.75">
      <c r="B25"/>
      <c r="C25" s="22" t="s">
        <v>2076</v>
      </c>
      <c r="D25" s="22"/>
      <c r="E25" s="40">
        <v>1.5</v>
      </c>
      <c r="F25" s="693"/>
      <c r="G25" s="693"/>
      <c r="H25" s="42"/>
      <c r="O25" s="691"/>
      <c r="P25" s="691"/>
      <c r="Q25" s="691"/>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691"/>
      <c r="BU25" s="691"/>
      <c r="BV25" s="691"/>
      <c r="BW25" s="691"/>
      <c r="BX25" s="691"/>
      <c r="BY25" s="691"/>
      <c r="BZ25" s="691"/>
      <c r="CA25" s="691"/>
      <c r="CB25" s="691"/>
      <c r="CC25" s="691"/>
      <c r="CD25" s="691"/>
      <c r="CE25" s="691"/>
      <c r="CF25" s="691"/>
      <c r="CG25" s="691"/>
      <c r="CH25" s="691"/>
      <c r="CI25" s="691"/>
      <c r="CJ25" s="691"/>
      <c r="CK25" s="691"/>
      <c r="CL25" s="691"/>
      <c r="CM25" s="691"/>
      <c r="CN25" s="691"/>
      <c r="CO25" s="691"/>
      <c r="CP25" s="691"/>
      <c r="CQ25" s="691"/>
      <c r="CR25" s="691"/>
      <c r="CS25" s="691"/>
      <c r="CT25" s="691"/>
      <c r="CU25" s="691"/>
      <c r="CV25" s="691"/>
      <c r="CW25" s="691"/>
      <c r="CX25" s="691"/>
      <c r="CY25" s="691"/>
      <c r="CZ25" s="691"/>
      <c r="DA25" s="691"/>
      <c r="DB25" s="691"/>
      <c r="DC25" s="691"/>
      <c r="DD25" s="691"/>
      <c r="DE25" s="691"/>
      <c r="DF25" s="691"/>
      <c r="DG25" s="691"/>
      <c r="DH25" s="691"/>
      <c r="DI25" s="691"/>
      <c r="DJ25" s="691"/>
      <c r="DK25" s="691"/>
      <c r="DL25" s="691"/>
      <c r="DM25" s="691"/>
      <c r="DN25" s="691"/>
      <c r="DO25" s="691"/>
      <c r="DP25" s="691"/>
      <c r="DQ25" s="691"/>
      <c r="DR25" s="691"/>
      <c r="DS25" s="691"/>
      <c r="DT25" s="691"/>
      <c r="DU25" s="691"/>
      <c r="DV25" s="691"/>
      <c r="DW25" s="691"/>
      <c r="DX25" s="691"/>
      <c r="DY25" s="691"/>
      <c r="DZ25" s="691"/>
      <c r="EA25" s="691"/>
      <c r="EB25" s="691"/>
      <c r="EC25" s="691"/>
      <c r="ED25" s="691"/>
      <c r="EE25" s="691"/>
      <c r="EF25" s="691"/>
      <c r="EG25" s="691"/>
      <c r="EH25" s="691"/>
      <c r="EI25" s="691"/>
      <c r="EJ25" s="691"/>
      <c r="EK25" s="691"/>
      <c r="EL25" s="691"/>
      <c r="EM25" s="691"/>
      <c r="EN25" s="691"/>
      <c r="EO25" s="691"/>
      <c r="EP25" s="691"/>
      <c r="EQ25" s="691"/>
      <c r="ER25" s="691"/>
      <c r="ES25" s="691"/>
      <c r="ET25" s="691"/>
      <c r="EU25" s="691"/>
      <c r="EV25" s="691"/>
      <c r="EW25" s="691"/>
      <c r="EX25" s="691"/>
      <c r="EY25" s="691"/>
      <c r="EZ25" s="691"/>
      <c r="FA25" s="691"/>
      <c r="FB25" s="691"/>
      <c r="FC25" s="691"/>
      <c r="FD25" s="691"/>
      <c r="FE25" s="691"/>
      <c r="FF25" s="691"/>
      <c r="FG25" s="691"/>
      <c r="FH25" s="691"/>
      <c r="FI25" s="691"/>
      <c r="FJ25" s="691"/>
      <c r="FK25" s="691"/>
      <c r="FL25" s="691"/>
      <c r="FM25" s="691"/>
      <c r="FN25" s="691"/>
      <c r="FO25" s="691"/>
      <c r="FP25" s="691"/>
      <c r="FQ25" s="691"/>
      <c r="FR25" s="691"/>
      <c r="FS25" s="691"/>
      <c r="FT25" s="691"/>
      <c r="FU25" s="691"/>
      <c r="FV25" s="691"/>
      <c r="FW25" s="691"/>
      <c r="FX25" s="691"/>
      <c r="FY25" s="691"/>
      <c r="FZ25" s="691"/>
      <c r="GA25" s="691"/>
      <c r="GB25" s="691"/>
      <c r="GC25" s="691"/>
      <c r="GD25" s="691"/>
      <c r="GE25" s="691"/>
      <c r="GF25" s="691"/>
      <c r="GG25" s="691"/>
      <c r="GH25" s="691"/>
      <c r="GI25" s="691"/>
      <c r="GJ25" s="691"/>
      <c r="GK25" s="691"/>
      <c r="GL25" s="691"/>
      <c r="GM25" s="691"/>
      <c r="GN25" s="691"/>
      <c r="GO25" s="691"/>
      <c r="GP25" s="691"/>
      <c r="GQ25" s="691"/>
      <c r="GR25" s="691"/>
      <c r="GS25" s="691"/>
      <c r="GT25" s="691"/>
      <c r="GU25" s="691"/>
      <c r="GV25" s="691"/>
      <c r="GW25" s="691"/>
      <c r="GX25" s="691"/>
      <c r="GY25" s="691"/>
      <c r="GZ25" s="691"/>
      <c r="HA25" s="691"/>
      <c r="HB25" s="691"/>
      <c r="HC25" s="691"/>
      <c r="HD25" s="691"/>
      <c r="HE25" s="691"/>
      <c r="HF25" s="691"/>
      <c r="HG25" s="691"/>
      <c r="HH25" s="691"/>
      <c r="HI25" s="691"/>
      <c r="HJ25" s="691"/>
      <c r="HK25" s="691"/>
      <c r="HL25" s="691"/>
      <c r="HM25" s="691"/>
      <c r="HN25" s="691"/>
      <c r="HO25" s="691"/>
      <c r="HP25" s="691"/>
      <c r="HQ25" s="691"/>
      <c r="HR25" s="691"/>
      <c r="HS25" s="691"/>
      <c r="HT25" s="691"/>
      <c r="HU25" s="691"/>
      <c r="HV25" s="691"/>
      <c r="HW25" s="691"/>
      <c r="HX25" s="691"/>
      <c r="HY25" s="691"/>
      <c r="HZ25" s="691"/>
      <c r="IA25" s="691"/>
      <c r="IB25" s="691"/>
      <c r="IC25" s="691"/>
      <c r="ID25" s="691"/>
      <c r="IE25" s="691"/>
      <c r="IF25" s="691"/>
      <c r="IG25" s="691"/>
      <c r="IH25" s="691"/>
      <c r="II25" s="691"/>
      <c r="IJ25" s="691"/>
      <c r="IK25" s="691"/>
      <c r="IL25" s="691"/>
      <c r="IM25" s="691"/>
      <c r="IN25" s="691"/>
    </row>
    <row r="26" spans="2:248" s="692" customFormat="1" ht="15.75">
      <c r="B26"/>
      <c r="C26" s="22" t="s">
        <v>2077</v>
      </c>
      <c r="D26" s="22"/>
      <c r="E26" s="40">
        <v>1.8</v>
      </c>
      <c r="F26" s="693"/>
      <c r="G26" s="693"/>
      <c r="H26" s="42"/>
      <c r="O26" s="691"/>
      <c r="P26" s="691"/>
      <c r="Q26" s="691"/>
      <c r="R26" s="691"/>
      <c r="S26" s="691"/>
      <c r="T26" s="691"/>
      <c r="U26" s="691"/>
      <c r="V26" s="691"/>
      <c r="W26" s="691"/>
      <c r="X26" s="691"/>
      <c r="Y26" s="691"/>
      <c r="Z26" s="691"/>
      <c r="AA26" s="691"/>
      <c r="AB26" s="691"/>
      <c r="AC26" s="691"/>
      <c r="AD26" s="691"/>
      <c r="AE26" s="691"/>
      <c r="AF26" s="691"/>
      <c r="AG26" s="691"/>
      <c r="AH26" s="691"/>
      <c r="AI26" s="691"/>
      <c r="AJ26" s="691"/>
      <c r="AK26" s="691"/>
      <c r="AL26" s="691"/>
      <c r="AM26" s="691"/>
      <c r="AN26" s="691"/>
      <c r="AO26" s="691"/>
      <c r="AP26" s="691"/>
      <c r="AQ26" s="691"/>
      <c r="AR26" s="691"/>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1"/>
      <c r="BT26" s="691"/>
      <c r="BU26" s="691"/>
      <c r="BV26" s="691"/>
      <c r="BW26" s="691"/>
      <c r="BX26" s="691"/>
      <c r="BY26" s="691"/>
      <c r="BZ26" s="691"/>
      <c r="CA26" s="691"/>
      <c r="CB26" s="691"/>
      <c r="CC26" s="691"/>
      <c r="CD26" s="691"/>
      <c r="CE26" s="691"/>
      <c r="CF26" s="691"/>
      <c r="CG26" s="691"/>
      <c r="CH26" s="691"/>
      <c r="CI26" s="691"/>
      <c r="CJ26" s="691"/>
      <c r="CK26" s="691"/>
      <c r="CL26" s="691"/>
      <c r="CM26" s="691"/>
      <c r="CN26" s="691"/>
      <c r="CO26" s="691"/>
      <c r="CP26" s="691"/>
      <c r="CQ26" s="691"/>
      <c r="CR26" s="691"/>
      <c r="CS26" s="691"/>
      <c r="CT26" s="691"/>
      <c r="CU26" s="691"/>
      <c r="CV26" s="691"/>
      <c r="CW26" s="691"/>
      <c r="CX26" s="691"/>
      <c r="CY26" s="691"/>
      <c r="CZ26" s="691"/>
      <c r="DA26" s="691"/>
      <c r="DB26" s="691"/>
      <c r="DC26" s="691"/>
      <c r="DD26" s="691"/>
      <c r="DE26" s="691"/>
      <c r="DF26" s="691"/>
      <c r="DG26" s="691"/>
      <c r="DH26" s="691"/>
      <c r="DI26" s="691"/>
      <c r="DJ26" s="691"/>
      <c r="DK26" s="691"/>
      <c r="DL26" s="691"/>
      <c r="DM26" s="691"/>
      <c r="DN26" s="691"/>
      <c r="DO26" s="691"/>
      <c r="DP26" s="691"/>
      <c r="DQ26" s="691"/>
      <c r="DR26" s="691"/>
      <c r="DS26" s="691"/>
      <c r="DT26" s="691"/>
      <c r="DU26" s="691"/>
      <c r="DV26" s="691"/>
      <c r="DW26" s="691"/>
      <c r="DX26" s="691"/>
      <c r="DY26" s="691"/>
      <c r="DZ26" s="691"/>
      <c r="EA26" s="691"/>
      <c r="EB26" s="691"/>
      <c r="EC26" s="691"/>
      <c r="ED26" s="691"/>
      <c r="EE26" s="691"/>
      <c r="EF26" s="691"/>
      <c r="EG26" s="691"/>
      <c r="EH26" s="691"/>
      <c r="EI26" s="691"/>
      <c r="EJ26" s="691"/>
      <c r="EK26" s="691"/>
      <c r="EL26" s="691"/>
      <c r="EM26" s="691"/>
      <c r="EN26" s="691"/>
      <c r="EO26" s="691"/>
      <c r="EP26" s="691"/>
      <c r="EQ26" s="691"/>
      <c r="ER26" s="691"/>
      <c r="ES26" s="691"/>
      <c r="ET26" s="691"/>
      <c r="EU26" s="691"/>
      <c r="EV26" s="691"/>
      <c r="EW26" s="691"/>
      <c r="EX26" s="691"/>
      <c r="EY26" s="691"/>
      <c r="EZ26" s="691"/>
      <c r="FA26" s="691"/>
      <c r="FB26" s="691"/>
      <c r="FC26" s="691"/>
      <c r="FD26" s="691"/>
      <c r="FE26" s="691"/>
      <c r="FF26" s="691"/>
      <c r="FG26" s="691"/>
      <c r="FH26" s="691"/>
      <c r="FI26" s="691"/>
      <c r="FJ26" s="691"/>
      <c r="FK26" s="691"/>
      <c r="FL26" s="691"/>
      <c r="FM26" s="691"/>
      <c r="FN26" s="691"/>
      <c r="FO26" s="691"/>
      <c r="FP26" s="691"/>
      <c r="FQ26" s="691"/>
      <c r="FR26" s="691"/>
      <c r="FS26" s="691"/>
      <c r="FT26" s="691"/>
      <c r="FU26" s="691"/>
      <c r="FV26" s="691"/>
      <c r="FW26" s="691"/>
      <c r="FX26" s="691"/>
      <c r="FY26" s="691"/>
      <c r="FZ26" s="691"/>
      <c r="GA26" s="691"/>
      <c r="GB26" s="691"/>
      <c r="GC26" s="691"/>
      <c r="GD26" s="691"/>
      <c r="GE26" s="691"/>
      <c r="GF26" s="691"/>
      <c r="GG26" s="691"/>
      <c r="GH26" s="691"/>
      <c r="GI26" s="691"/>
      <c r="GJ26" s="691"/>
      <c r="GK26" s="691"/>
      <c r="GL26" s="691"/>
      <c r="GM26" s="691"/>
      <c r="GN26" s="691"/>
      <c r="GO26" s="691"/>
      <c r="GP26" s="691"/>
      <c r="GQ26" s="691"/>
      <c r="GR26" s="691"/>
      <c r="GS26" s="691"/>
      <c r="GT26" s="691"/>
      <c r="GU26" s="691"/>
      <c r="GV26" s="691"/>
      <c r="GW26" s="691"/>
      <c r="GX26" s="691"/>
      <c r="GY26" s="691"/>
      <c r="GZ26" s="691"/>
      <c r="HA26" s="691"/>
      <c r="HB26" s="691"/>
      <c r="HC26" s="691"/>
      <c r="HD26" s="691"/>
      <c r="HE26" s="691"/>
      <c r="HF26" s="691"/>
      <c r="HG26" s="691"/>
      <c r="HH26" s="691"/>
      <c r="HI26" s="691"/>
      <c r="HJ26" s="691"/>
      <c r="HK26" s="691"/>
      <c r="HL26" s="691"/>
      <c r="HM26" s="691"/>
      <c r="HN26" s="691"/>
      <c r="HO26" s="691"/>
      <c r="HP26" s="691"/>
      <c r="HQ26" s="691"/>
      <c r="HR26" s="691"/>
      <c r="HS26" s="691"/>
      <c r="HT26" s="691"/>
      <c r="HU26" s="691"/>
      <c r="HV26" s="691"/>
      <c r="HW26" s="691"/>
      <c r="HX26" s="691"/>
      <c r="HY26" s="691"/>
      <c r="HZ26" s="691"/>
      <c r="IA26" s="691"/>
      <c r="IB26" s="691"/>
      <c r="IC26" s="691"/>
      <c r="ID26" s="691"/>
      <c r="IE26" s="691"/>
      <c r="IF26" s="691"/>
      <c r="IG26" s="691"/>
      <c r="IH26" s="691"/>
      <c r="II26" s="691"/>
      <c r="IJ26" s="691"/>
      <c r="IK26" s="691"/>
      <c r="IL26" s="691"/>
      <c r="IM26" s="691"/>
      <c r="IN26" s="691"/>
    </row>
    <row r="27" spans="2:248" s="692" customFormat="1" ht="15.75">
      <c r="B27"/>
      <c r="C27" s="22" t="s">
        <v>114</v>
      </c>
      <c r="D27" s="22"/>
      <c r="E27" s="40">
        <v>1.4</v>
      </c>
      <c r="F27" s="693"/>
      <c r="G27" s="693"/>
      <c r="H27" s="42"/>
      <c r="O27" s="691"/>
      <c r="P27" s="691"/>
      <c r="Q27" s="691"/>
      <c r="R27" s="691"/>
      <c r="S27" s="691"/>
      <c r="T27" s="691"/>
      <c r="U27" s="691"/>
      <c r="V27" s="691"/>
      <c r="W27" s="691"/>
      <c r="X27" s="691"/>
      <c r="Y27" s="691"/>
      <c r="Z27" s="691"/>
      <c r="AA27" s="691"/>
      <c r="AB27" s="691"/>
      <c r="AC27" s="691"/>
      <c r="AD27" s="691"/>
      <c r="AE27" s="691"/>
      <c r="AF27" s="691"/>
      <c r="AG27" s="691"/>
      <c r="AH27" s="691"/>
      <c r="AI27" s="691"/>
      <c r="AJ27" s="691"/>
      <c r="AK27" s="691"/>
      <c r="AL27" s="691"/>
      <c r="AM27" s="691"/>
      <c r="AN27" s="691"/>
      <c r="AO27" s="691"/>
      <c r="AP27" s="691"/>
      <c r="AQ27" s="691"/>
      <c r="AR27" s="691"/>
      <c r="AS27" s="691"/>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c r="BP27" s="691"/>
      <c r="BQ27" s="691"/>
      <c r="BR27" s="691"/>
      <c r="BS27" s="691"/>
      <c r="BT27" s="691"/>
      <c r="BU27" s="691"/>
      <c r="BV27" s="691"/>
      <c r="BW27" s="691"/>
      <c r="BX27" s="691"/>
      <c r="BY27" s="691"/>
      <c r="BZ27" s="691"/>
      <c r="CA27" s="691"/>
      <c r="CB27" s="691"/>
      <c r="CC27" s="691"/>
      <c r="CD27" s="691"/>
      <c r="CE27" s="691"/>
      <c r="CF27" s="691"/>
      <c r="CG27" s="691"/>
      <c r="CH27" s="691"/>
      <c r="CI27" s="691"/>
      <c r="CJ27" s="691"/>
      <c r="CK27" s="691"/>
      <c r="CL27" s="691"/>
      <c r="CM27" s="691"/>
      <c r="CN27" s="691"/>
      <c r="CO27" s="691"/>
      <c r="CP27" s="691"/>
      <c r="CQ27" s="691"/>
      <c r="CR27" s="691"/>
      <c r="CS27" s="691"/>
      <c r="CT27" s="691"/>
      <c r="CU27" s="691"/>
      <c r="CV27" s="691"/>
      <c r="CW27" s="691"/>
      <c r="CX27" s="691"/>
      <c r="CY27" s="691"/>
      <c r="CZ27" s="691"/>
      <c r="DA27" s="691"/>
      <c r="DB27" s="691"/>
      <c r="DC27" s="691"/>
      <c r="DD27" s="691"/>
      <c r="DE27" s="691"/>
      <c r="DF27" s="691"/>
      <c r="DG27" s="691"/>
      <c r="DH27" s="691"/>
      <c r="DI27" s="691"/>
      <c r="DJ27" s="691"/>
      <c r="DK27" s="691"/>
      <c r="DL27" s="691"/>
      <c r="DM27" s="691"/>
      <c r="DN27" s="691"/>
      <c r="DO27" s="691"/>
      <c r="DP27" s="691"/>
      <c r="DQ27" s="691"/>
      <c r="DR27" s="691"/>
      <c r="DS27" s="691"/>
      <c r="DT27" s="691"/>
      <c r="DU27" s="691"/>
      <c r="DV27" s="691"/>
      <c r="DW27" s="691"/>
      <c r="DX27" s="691"/>
      <c r="DY27" s="691"/>
      <c r="DZ27" s="691"/>
      <c r="EA27" s="691"/>
      <c r="EB27" s="691"/>
      <c r="EC27" s="691"/>
      <c r="ED27" s="691"/>
      <c r="EE27" s="691"/>
      <c r="EF27" s="691"/>
      <c r="EG27" s="691"/>
      <c r="EH27" s="691"/>
      <c r="EI27" s="691"/>
      <c r="EJ27" s="691"/>
      <c r="EK27" s="691"/>
      <c r="EL27" s="691"/>
      <c r="EM27" s="691"/>
      <c r="EN27" s="691"/>
      <c r="EO27" s="691"/>
      <c r="EP27" s="691"/>
      <c r="EQ27" s="691"/>
      <c r="ER27" s="691"/>
      <c r="ES27" s="691"/>
      <c r="ET27" s="691"/>
      <c r="EU27" s="691"/>
      <c r="EV27" s="691"/>
      <c r="EW27" s="691"/>
      <c r="EX27" s="691"/>
      <c r="EY27" s="691"/>
      <c r="EZ27" s="691"/>
      <c r="FA27" s="691"/>
      <c r="FB27" s="691"/>
      <c r="FC27" s="691"/>
      <c r="FD27" s="691"/>
      <c r="FE27" s="691"/>
      <c r="FF27" s="691"/>
      <c r="FG27" s="691"/>
      <c r="FH27" s="691"/>
      <c r="FI27" s="691"/>
      <c r="FJ27" s="691"/>
      <c r="FK27" s="691"/>
      <c r="FL27" s="691"/>
      <c r="FM27" s="691"/>
      <c r="FN27" s="691"/>
      <c r="FO27" s="691"/>
      <c r="FP27" s="691"/>
      <c r="FQ27" s="691"/>
      <c r="FR27" s="691"/>
      <c r="FS27" s="691"/>
      <c r="FT27" s="691"/>
      <c r="FU27" s="691"/>
      <c r="FV27" s="691"/>
      <c r="FW27" s="691"/>
      <c r="FX27" s="691"/>
      <c r="FY27" s="691"/>
      <c r="FZ27" s="691"/>
      <c r="GA27" s="691"/>
      <c r="GB27" s="691"/>
      <c r="GC27" s="691"/>
      <c r="GD27" s="691"/>
      <c r="GE27" s="691"/>
      <c r="GF27" s="691"/>
      <c r="GG27" s="691"/>
      <c r="GH27" s="691"/>
      <c r="GI27" s="691"/>
      <c r="GJ27" s="691"/>
      <c r="GK27" s="691"/>
      <c r="GL27" s="691"/>
      <c r="GM27" s="691"/>
      <c r="GN27" s="691"/>
      <c r="GO27" s="691"/>
      <c r="GP27" s="691"/>
      <c r="GQ27" s="691"/>
      <c r="GR27" s="691"/>
      <c r="GS27" s="691"/>
      <c r="GT27" s="691"/>
      <c r="GU27" s="691"/>
      <c r="GV27" s="691"/>
      <c r="GW27" s="691"/>
      <c r="GX27" s="691"/>
      <c r="GY27" s="691"/>
      <c r="GZ27" s="691"/>
      <c r="HA27" s="691"/>
      <c r="HB27" s="691"/>
      <c r="HC27" s="691"/>
      <c r="HD27" s="691"/>
      <c r="HE27" s="691"/>
      <c r="HF27" s="691"/>
      <c r="HG27" s="691"/>
      <c r="HH27" s="691"/>
      <c r="HI27" s="691"/>
      <c r="HJ27" s="691"/>
      <c r="HK27" s="691"/>
      <c r="HL27" s="691"/>
      <c r="HM27" s="691"/>
      <c r="HN27" s="691"/>
      <c r="HO27" s="691"/>
      <c r="HP27" s="691"/>
      <c r="HQ27" s="691"/>
      <c r="HR27" s="691"/>
      <c r="HS27" s="691"/>
      <c r="HT27" s="691"/>
      <c r="HU27" s="691"/>
      <c r="HV27" s="691"/>
      <c r="HW27" s="691"/>
      <c r="HX27" s="691"/>
      <c r="HY27" s="691"/>
      <c r="HZ27" s="691"/>
      <c r="IA27" s="691"/>
      <c r="IB27" s="691"/>
      <c r="IC27" s="691"/>
      <c r="ID27" s="691"/>
      <c r="IE27" s="691"/>
      <c r="IF27" s="691"/>
      <c r="IG27" s="691"/>
      <c r="IH27" s="691"/>
      <c r="II27" s="691"/>
      <c r="IJ27" s="691"/>
      <c r="IK27" s="691"/>
      <c r="IL27" s="691"/>
      <c r="IM27" s="691"/>
      <c r="IN27" s="691"/>
    </row>
    <row r="28" spans="2:248" s="692" customFormat="1" ht="15.75">
      <c r="B28"/>
      <c r="C28" s="22" t="s">
        <v>292</v>
      </c>
      <c r="D28" s="22"/>
      <c r="E28" s="40">
        <v>2</v>
      </c>
      <c r="F28" s="693"/>
      <c r="G28" s="693"/>
      <c r="H28" s="42"/>
      <c r="O28" s="691"/>
      <c r="P28" s="691"/>
      <c r="Q28" s="691"/>
      <c r="R28" s="691"/>
      <c r="S28" s="691"/>
      <c r="T28" s="691"/>
      <c r="U28" s="691"/>
      <c r="V28" s="691"/>
      <c r="W28" s="691"/>
      <c r="X28" s="691"/>
      <c r="Y28" s="691"/>
      <c r="Z28" s="691"/>
      <c r="AA28" s="691"/>
      <c r="AB28" s="691"/>
      <c r="AC28" s="691"/>
      <c r="AD28" s="691"/>
      <c r="AE28" s="691"/>
      <c r="AF28" s="691"/>
      <c r="AG28" s="691"/>
      <c r="AH28" s="691"/>
      <c r="AI28" s="691"/>
      <c r="AJ28" s="691"/>
      <c r="AK28" s="691"/>
      <c r="AL28" s="691"/>
      <c r="AM28" s="691"/>
      <c r="AN28" s="691"/>
      <c r="AO28" s="691"/>
      <c r="AP28" s="691"/>
      <c r="AQ28" s="691"/>
      <c r="AR28" s="691"/>
      <c r="AS28" s="691"/>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c r="BP28" s="691"/>
      <c r="BQ28" s="691"/>
      <c r="BR28" s="691"/>
      <c r="BS28" s="691"/>
      <c r="BT28" s="691"/>
      <c r="BU28" s="691"/>
      <c r="BV28" s="691"/>
      <c r="BW28" s="691"/>
      <c r="BX28" s="691"/>
      <c r="BY28" s="691"/>
      <c r="BZ28" s="691"/>
      <c r="CA28" s="691"/>
      <c r="CB28" s="691"/>
      <c r="CC28" s="691"/>
      <c r="CD28" s="691"/>
      <c r="CE28" s="691"/>
      <c r="CF28" s="691"/>
      <c r="CG28" s="691"/>
      <c r="CH28" s="691"/>
      <c r="CI28" s="691"/>
      <c r="CJ28" s="691"/>
      <c r="CK28" s="691"/>
      <c r="CL28" s="691"/>
      <c r="CM28" s="691"/>
      <c r="CN28" s="691"/>
      <c r="CO28" s="691"/>
      <c r="CP28" s="691"/>
      <c r="CQ28" s="691"/>
      <c r="CR28" s="691"/>
      <c r="CS28" s="691"/>
      <c r="CT28" s="691"/>
      <c r="CU28" s="691"/>
      <c r="CV28" s="691"/>
      <c r="CW28" s="691"/>
      <c r="CX28" s="691"/>
      <c r="CY28" s="691"/>
      <c r="CZ28" s="691"/>
      <c r="DA28" s="691"/>
      <c r="DB28" s="691"/>
      <c r="DC28" s="691"/>
      <c r="DD28" s="691"/>
      <c r="DE28" s="691"/>
      <c r="DF28" s="691"/>
      <c r="DG28" s="691"/>
      <c r="DH28" s="691"/>
      <c r="DI28" s="691"/>
      <c r="DJ28" s="691"/>
      <c r="DK28" s="691"/>
      <c r="DL28" s="691"/>
      <c r="DM28" s="691"/>
      <c r="DN28" s="691"/>
      <c r="DO28" s="691"/>
      <c r="DP28" s="691"/>
      <c r="DQ28" s="691"/>
      <c r="DR28" s="691"/>
      <c r="DS28" s="691"/>
      <c r="DT28" s="691"/>
      <c r="DU28" s="691"/>
      <c r="DV28" s="691"/>
      <c r="DW28" s="691"/>
      <c r="DX28" s="691"/>
      <c r="DY28" s="691"/>
      <c r="DZ28" s="691"/>
      <c r="EA28" s="691"/>
      <c r="EB28" s="691"/>
      <c r="EC28" s="691"/>
      <c r="ED28" s="691"/>
      <c r="EE28" s="691"/>
      <c r="EF28" s="691"/>
      <c r="EG28" s="691"/>
      <c r="EH28" s="691"/>
      <c r="EI28" s="691"/>
      <c r="EJ28" s="691"/>
      <c r="EK28" s="691"/>
      <c r="EL28" s="691"/>
      <c r="EM28" s="691"/>
      <c r="EN28" s="691"/>
      <c r="EO28" s="691"/>
      <c r="EP28" s="691"/>
      <c r="EQ28" s="691"/>
      <c r="ER28" s="691"/>
      <c r="ES28" s="691"/>
      <c r="ET28" s="691"/>
      <c r="EU28" s="691"/>
      <c r="EV28" s="691"/>
      <c r="EW28" s="691"/>
      <c r="EX28" s="691"/>
      <c r="EY28" s="691"/>
      <c r="EZ28" s="691"/>
      <c r="FA28" s="691"/>
      <c r="FB28" s="691"/>
      <c r="FC28" s="691"/>
      <c r="FD28" s="691"/>
      <c r="FE28" s="691"/>
      <c r="FF28" s="691"/>
      <c r="FG28" s="691"/>
      <c r="FH28" s="691"/>
      <c r="FI28" s="691"/>
      <c r="FJ28" s="691"/>
      <c r="FK28" s="691"/>
      <c r="FL28" s="691"/>
      <c r="FM28" s="691"/>
      <c r="FN28" s="691"/>
      <c r="FO28" s="691"/>
      <c r="FP28" s="691"/>
      <c r="FQ28" s="691"/>
      <c r="FR28" s="691"/>
      <c r="FS28" s="691"/>
      <c r="FT28" s="691"/>
      <c r="FU28" s="691"/>
      <c r="FV28" s="691"/>
      <c r="FW28" s="691"/>
      <c r="FX28" s="691"/>
      <c r="FY28" s="691"/>
      <c r="FZ28" s="691"/>
      <c r="GA28" s="691"/>
      <c r="GB28" s="691"/>
      <c r="GC28" s="691"/>
      <c r="GD28" s="691"/>
      <c r="GE28" s="691"/>
      <c r="GF28" s="691"/>
      <c r="GG28" s="691"/>
      <c r="GH28" s="691"/>
      <c r="GI28" s="691"/>
      <c r="GJ28" s="691"/>
      <c r="GK28" s="691"/>
      <c r="GL28" s="691"/>
      <c r="GM28" s="691"/>
      <c r="GN28" s="691"/>
      <c r="GO28" s="691"/>
      <c r="GP28" s="691"/>
      <c r="GQ28" s="691"/>
      <c r="GR28" s="691"/>
      <c r="GS28" s="691"/>
      <c r="GT28" s="691"/>
      <c r="GU28" s="691"/>
      <c r="GV28" s="691"/>
      <c r="GW28" s="691"/>
      <c r="GX28" s="691"/>
      <c r="GY28" s="691"/>
      <c r="GZ28" s="691"/>
      <c r="HA28" s="691"/>
      <c r="HB28" s="691"/>
      <c r="HC28" s="691"/>
      <c r="HD28" s="691"/>
      <c r="HE28" s="691"/>
      <c r="HF28" s="691"/>
      <c r="HG28" s="691"/>
      <c r="HH28" s="691"/>
      <c r="HI28" s="691"/>
      <c r="HJ28" s="691"/>
      <c r="HK28" s="691"/>
      <c r="HL28" s="691"/>
      <c r="HM28" s="691"/>
      <c r="HN28" s="691"/>
      <c r="HO28" s="691"/>
      <c r="HP28" s="691"/>
      <c r="HQ28" s="691"/>
      <c r="HR28" s="691"/>
      <c r="HS28" s="691"/>
      <c r="HT28" s="691"/>
      <c r="HU28" s="691"/>
      <c r="HV28" s="691"/>
      <c r="HW28" s="691"/>
      <c r="HX28" s="691"/>
      <c r="HY28" s="691"/>
      <c r="HZ28" s="691"/>
      <c r="IA28" s="691"/>
      <c r="IB28" s="691"/>
      <c r="IC28" s="691"/>
      <c r="ID28" s="691"/>
      <c r="IE28" s="691"/>
      <c r="IF28" s="691"/>
      <c r="IG28" s="691"/>
      <c r="IH28" s="691"/>
      <c r="II28" s="691"/>
      <c r="IJ28" s="691"/>
      <c r="IK28" s="691"/>
      <c r="IL28" s="691"/>
      <c r="IM28" s="691"/>
      <c r="IN28" s="691"/>
    </row>
    <row r="29" spans="2:248" s="692" customFormat="1" ht="15.75">
      <c r="B29"/>
      <c r="C29" s="22" t="s">
        <v>2078</v>
      </c>
      <c r="D29" s="22"/>
      <c r="E29" s="40">
        <v>1.6</v>
      </c>
      <c r="F29" s="693"/>
      <c r="G29" s="693"/>
      <c r="O29" s="691"/>
      <c r="P29" s="691"/>
      <c r="Q29" s="691"/>
      <c r="R29" s="691"/>
      <c r="S29" s="691"/>
      <c r="T29" s="691"/>
      <c r="U29" s="691"/>
      <c r="V29" s="691"/>
      <c r="W29" s="691"/>
      <c r="X29" s="691"/>
      <c r="Y29" s="691"/>
      <c r="Z29" s="691"/>
      <c r="AA29" s="691"/>
      <c r="AB29" s="691"/>
      <c r="AC29" s="691"/>
      <c r="AD29" s="691"/>
      <c r="AE29" s="691"/>
      <c r="AF29" s="691"/>
      <c r="AG29" s="691"/>
      <c r="AH29" s="691"/>
      <c r="AI29" s="691"/>
      <c r="AJ29" s="691"/>
      <c r="AK29" s="691"/>
      <c r="AL29" s="691"/>
      <c r="AM29" s="691"/>
      <c r="AN29" s="691"/>
      <c r="AO29" s="691"/>
      <c r="AP29" s="691"/>
      <c r="AQ29" s="691"/>
      <c r="AR29" s="691"/>
      <c r="AS29" s="691"/>
      <c r="AT29" s="691"/>
      <c r="AU29" s="691"/>
      <c r="AV29" s="691"/>
      <c r="AW29" s="691"/>
      <c r="AX29" s="691"/>
      <c r="AY29" s="691"/>
      <c r="AZ29" s="691"/>
      <c r="BA29" s="691"/>
      <c r="BB29" s="691"/>
      <c r="BC29" s="691"/>
      <c r="BD29" s="691"/>
      <c r="BE29" s="691"/>
      <c r="BF29" s="691"/>
      <c r="BG29" s="691"/>
      <c r="BH29" s="691"/>
      <c r="BI29" s="691"/>
      <c r="BJ29" s="691"/>
      <c r="BK29" s="691"/>
      <c r="BL29" s="691"/>
      <c r="BM29" s="691"/>
      <c r="BN29" s="691"/>
      <c r="BO29" s="691"/>
      <c r="BP29" s="691"/>
      <c r="BQ29" s="691"/>
      <c r="BR29" s="691"/>
      <c r="BS29" s="691"/>
      <c r="BT29" s="691"/>
      <c r="BU29" s="691"/>
      <c r="BV29" s="691"/>
      <c r="BW29" s="691"/>
      <c r="BX29" s="691"/>
      <c r="BY29" s="691"/>
      <c r="BZ29" s="691"/>
      <c r="CA29" s="691"/>
      <c r="CB29" s="691"/>
      <c r="CC29" s="691"/>
      <c r="CD29" s="691"/>
      <c r="CE29" s="691"/>
      <c r="CF29" s="691"/>
      <c r="CG29" s="691"/>
      <c r="CH29" s="691"/>
      <c r="CI29" s="691"/>
      <c r="CJ29" s="691"/>
      <c r="CK29" s="691"/>
      <c r="CL29" s="691"/>
      <c r="CM29" s="691"/>
      <c r="CN29" s="691"/>
      <c r="CO29" s="691"/>
      <c r="CP29" s="691"/>
      <c r="CQ29" s="691"/>
      <c r="CR29" s="691"/>
      <c r="CS29" s="691"/>
      <c r="CT29" s="691"/>
      <c r="CU29" s="691"/>
      <c r="CV29" s="691"/>
      <c r="CW29" s="691"/>
      <c r="CX29" s="691"/>
      <c r="CY29" s="691"/>
      <c r="CZ29" s="691"/>
      <c r="DA29" s="691"/>
      <c r="DB29" s="691"/>
      <c r="DC29" s="691"/>
      <c r="DD29" s="691"/>
      <c r="DE29" s="691"/>
      <c r="DF29" s="691"/>
      <c r="DG29" s="691"/>
      <c r="DH29" s="691"/>
      <c r="DI29" s="691"/>
      <c r="DJ29" s="691"/>
      <c r="DK29" s="691"/>
      <c r="DL29" s="691"/>
      <c r="DM29" s="691"/>
      <c r="DN29" s="691"/>
      <c r="DO29" s="691"/>
      <c r="DP29" s="691"/>
      <c r="DQ29" s="691"/>
      <c r="DR29" s="691"/>
      <c r="DS29" s="691"/>
      <c r="DT29" s="691"/>
      <c r="DU29" s="691"/>
      <c r="DV29" s="691"/>
      <c r="DW29" s="691"/>
      <c r="DX29" s="691"/>
      <c r="DY29" s="691"/>
      <c r="DZ29" s="691"/>
      <c r="EA29" s="691"/>
      <c r="EB29" s="691"/>
      <c r="EC29" s="691"/>
      <c r="ED29" s="691"/>
      <c r="EE29" s="691"/>
      <c r="EF29" s="691"/>
      <c r="EG29" s="691"/>
      <c r="EH29" s="691"/>
      <c r="EI29" s="691"/>
      <c r="EJ29" s="691"/>
      <c r="EK29" s="691"/>
      <c r="EL29" s="691"/>
      <c r="EM29" s="691"/>
      <c r="EN29" s="691"/>
      <c r="EO29" s="691"/>
      <c r="EP29" s="691"/>
      <c r="EQ29" s="691"/>
      <c r="ER29" s="691"/>
      <c r="ES29" s="691"/>
      <c r="ET29" s="691"/>
      <c r="EU29" s="691"/>
      <c r="EV29" s="691"/>
      <c r="EW29" s="691"/>
      <c r="EX29" s="691"/>
      <c r="EY29" s="691"/>
      <c r="EZ29" s="691"/>
      <c r="FA29" s="691"/>
      <c r="FB29" s="691"/>
      <c r="FC29" s="691"/>
      <c r="FD29" s="691"/>
      <c r="FE29" s="691"/>
      <c r="FF29" s="691"/>
      <c r="FG29" s="691"/>
      <c r="FH29" s="691"/>
      <c r="FI29" s="691"/>
      <c r="FJ29" s="691"/>
      <c r="FK29" s="691"/>
      <c r="FL29" s="691"/>
      <c r="FM29" s="691"/>
      <c r="FN29" s="691"/>
      <c r="FO29" s="691"/>
      <c r="FP29" s="691"/>
      <c r="FQ29" s="691"/>
      <c r="FR29" s="691"/>
      <c r="FS29" s="691"/>
      <c r="FT29" s="691"/>
      <c r="FU29" s="691"/>
      <c r="FV29" s="691"/>
      <c r="FW29" s="691"/>
      <c r="FX29" s="691"/>
      <c r="FY29" s="691"/>
      <c r="FZ29" s="691"/>
      <c r="GA29" s="691"/>
      <c r="GB29" s="691"/>
      <c r="GC29" s="691"/>
      <c r="GD29" s="691"/>
      <c r="GE29" s="691"/>
      <c r="GF29" s="691"/>
      <c r="GG29" s="691"/>
      <c r="GH29" s="691"/>
      <c r="GI29" s="691"/>
      <c r="GJ29" s="691"/>
      <c r="GK29" s="691"/>
      <c r="GL29" s="691"/>
      <c r="GM29" s="691"/>
      <c r="GN29" s="691"/>
      <c r="GO29" s="691"/>
      <c r="GP29" s="691"/>
      <c r="GQ29" s="691"/>
      <c r="GR29" s="691"/>
      <c r="GS29" s="691"/>
      <c r="GT29" s="691"/>
      <c r="GU29" s="691"/>
      <c r="GV29" s="691"/>
      <c r="GW29" s="691"/>
      <c r="GX29" s="691"/>
      <c r="GY29" s="691"/>
      <c r="GZ29" s="691"/>
      <c r="HA29" s="691"/>
      <c r="HB29" s="691"/>
      <c r="HC29" s="691"/>
      <c r="HD29" s="691"/>
      <c r="HE29" s="691"/>
      <c r="HF29" s="691"/>
      <c r="HG29" s="691"/>
      <c r="HH29" s="691"/>
      <c r="HI29" s="691"/>
      <c r="HJ29" s="691"/>
      <c r="HK29" s="691"/>
      <c r="HL29" s="691"/>
      <c r="HM29" s="691"/>
      <c r="HN29" s="691"/>
      <c r="HO29" s="691"/>
      <c r="HP29" s="691"/>
      <c r="HQ29" s="691"/>
      <c r="HR29" s="691"/>
      <c r="HS29" s="691"/>
      <c r="HT29" s="691"/>
      <c r="HU29" s="691"/>
      <c r="HV29" s="691"/>
      <c r="HW29" s="691"/>
      <c r="HX29" s="691"/>
      <c r="HY29" s="691"/>
      <c r="HZ29" s="691"/>
      <c r="IA29" s="691"/>
      <c r="IB29" s="691"/>
      <c r="IC29" s="691"/>
      <c r="ID29" s="691"/>
      <c r="IE29" s="691"/>
      <c r="IF29" s="691"/>
      <c r="IG29" s="691"/>
      <c r="IH29" s="691"/>
      <c r="II29" s="691"/>
      <c r="IJ29" s="691"/>
      <c r="IK29" s="691"/>
      <c r="IL29" s="691"/>
      <c r="IM29" s="691"/>
      <c r="IN29" s="691"/>
    </row>
    <row r="30" spans="2:248" s="692" customFormat="1" ht="15.75">
      <c r="B30"/>
      <c r="C30" s="22" t="s">
        <v>66</v>
      </c>
      <c r="D30" s="22"/>
      <c r="E30" s="40">
        <v>1.6</v>
      </c>
      <c r="F30" s="693"/>
      <c r="G30" s="693"/>
      <c r="O30" s="691"/>
      <c r="P30" s="691"/>
      <c r="Q30" s="691"/>
      <c r="R30" s="691"/>
      <c r="S30" s="691"/>
      <c r="T30" s="691"/>
      <c r="U30" s="691"/>
      <c r="V30" s="691"/>
      <c r="W30" s="691"/>
      <c r="X30" s="691"/>
      <c r="Y30" s="691"/>
      <c r="Z30" s="691"/>
      <c r="AA30" s="691"/>
      <c r="AB30" s="691"/>
      <c r="AC30" s="691"/>
      <c r="AD30" s="691"/>
      <c r="AE30" s="691"/>
      <c r="AF30" s="691"/>
      <c r="AG30" s="691"/>
      <c r="AH30" s="691"/>
      <c r="AI30" s="691"/>
      <c r="AJ30" s="691"/>
      <c r="AK30" s="691"/>
      <c r="AL30" s="691"/>
      <c r="AM30" s="691"/>
      <c r="AN30" s="691"/>
      <c r="AO30" s="691"/>
      <c r="AP30" s="691"/>
      <c r="AQ30" s="691"/>
      <c r="AR30" s="691"/>
      <c r="AS30" s="691"/>
      <c r="AT30" s="691"/>
      <c r="AU30" s="691"/>
      <c r="AV30" s="691"/>
      <c r="AW30" s="691"/>
      <c r="AX30" s="691"/>
      <c r="AY30" s="691"/>
      <c r="AZ30" s="691"/>
      <c r="BA30" s="691"/>
      <c r="BB30" s="691"/>
      <c r="BC30" s="691"/>
      <c r="BD30" s="691"/>
      <c r="BE30" s="691"/>
      <c r="BF30" s="691"/>
      <c r="BG30" s="691"/>
      <c r="BH30" s="691"/>
      <c r="BI30" s="691"/>
      <c r="BJ30" s="691"/>
      <c r="BK30" s="691"/>
      <c r="BL30" s="691"/>
      <c r="BM30" s="691"/>
      <c r="BN30" s="691"/>
      <c r="BO30" s="691"/>
      <c r="BP30" s="691"/>
      <c r="BQ30" s="691"/>
      <c r="BR30" s="691"/>
      <c r="BS30" s="691"/>
      <c r="BT30" s="691"/>
      <c r="BU30" s="691"/>
      <c r="BV30" s="691"/>
      <c r="BW30" s="691"/>
      <c r="BX30" s="691"/>
      <c r="BY30" s="691"/>
      <c r="BZ30" s="691"/>
      <c r="CA30" s="691"/>
      <c r="CB30" s="691"/>
      <c r="CC30" s="691"/>
      <c r="CD30" s="691"/>
      <c r="CE30" s="691"/>
      <c r="CF30" s="691"/>
      <c r="CG30" s="691"/>
      <c r="CH30" s="691"/>
      <c r="CI30" s="691"/>
      <c r="CJ30" s="691"/>
      <c r="CK30" s="691"/>
      <c r="CL30" s="691"/>
      <c r="CM30" s="691"/>
      <c r="CN30" s="691"/>
      <c r="CO30" s="691"/>
      <c r="CP30" s="691"/>
      <c r="CQ30" s="691"/>
      <c r="CR30" s="691"/>
      <c r="CS30" s="691"/>
      <c r="CT30" s="691"/>
      <c r="CU30" s="691"/>
      <c r="CV30" s="691"/>
      <c r="CW30" s="691"/>
      <c r="CX30" s="691"/>
      <c r="CY30" s="691"/>
      <c r="CZ30" s="691"/>
      <c r="DA30" s="691"/>
      <c r="DB30" s="691"/>
      <c r="DC30" s="691"/>
      <c r="DD30" s="691"/>
      <c r="DE30" s="691"/>
      <c r="DF30" s="691"/>
      <c r="DG30" s="691"/>
      <c r="DH30" s="691"/>
      <c r="DI30" s="691"/>
      <c r="DJ30" s="691"/>
      <c r="DK30" s="691"/>
      <c r="DL30" s="691"/>
      <c r="DM30" s="691"/>
      <c r="DN30" s="691"/>
      <c r="DO30" s="691"/>
      <c r="DP30" s="691"/>
      <c r="DQ30" s="691"/>
      <c r="DR30" s="691"/>
      <c r="DS30" s="691"/>
      <c r="DT30" s="691"/>
      <c r="DU30" s="691"/>
      <c r="DV30" s="691"/>
      <c r="DW30" s="691"/>
      <c r="DX30" s="691"/>
      <c r="DY30" s="691"/>
      <c r="DZ30" s="691"/>
      <c r="EA30" s="691"/>
      <c r="EB30" s="691"/>
      <c r="EC30" s="691"/>
      <c r="ED30" s="691"/>
      <c r="EE30" s="691"/>
      <c r="EF30" s="691"/>
      <c r="EG30" s="691"/>
      <c r="EH30" s="691"/>
      <c r="EI30" s="691"/>
      <c r="EJ30" s="691"/>
      <c r="EK30" s="691"/>
      <c r="EL30" s="691"/>
      <c r="EM30" s="691"/>
      <c r="EN30" s="691"/>
      <c r="EO30" s="691"/>
      <c r="EP30" s="691"/>
      <c r="EQ30" s="691"/>
      <c r="ER30" s="691"/>
      <c r="ES30" s="691"/>
      <c r="ET30" s="691"/>
      <c r="EU30" s="691"/>
      <c r="EV30" s="691"/>
      <c r="EW30" s="691"/>
      <c r="EX30" s="691"/>
      <c r="EY30" s="691"/>
      <c r="EZ30" s="691"/>
      <c r="FA30" s="691"/>
      <c r="FB30" s="691"/>
      <c r="FC30" s="691"/>
      <c r="FD30" s="691"/>
      <c r="FE30" s="691"/>
      <c r="FF30" s="691"/>
      <c r="FG30" s="691"/>
      <c r="FH30" s="691"/>
      <c r="FI30" s="691"/>
      <c r="FJ30" s="691"/>
      <c r="FK30" s="691"/>
      <c r="FL30" s="691"/>
      <c r="FM30" s="691"/>
      <c r="FN30" s="691"/>
      <c r="FO30" s="691"/>
      <c r="FP30" s="691"/>
      <c r="FQ30" s="691"/>
      <c r="FR30" s="691"/>
      <c r="FS30" s="691"/>
      <c r="FT30" s="691"/>
      <c r="FU30" s="691"/>
      <c r="FV30" s="691"/>
      <c r="FW30" s="691"/>
      <c r="FX30" s="691"/>
      <c r="FY30" s="691"/>
      <c r="FZ30" s="691"/>
      <c r="GA30" s="691"/>
      <c r="GB30" s="691"/>
      <c r="GC30" s="691"/>
      <c r="GD30" s="691"/>
      <c r="GE30" s="691"/>
      <c r="GF30" s="691"/>
      <c r="GG30" s="691"/>
      <c r="GH30" s="691"/>
      <c r="GI30" s="691"/>
      <c r="GJ30" s="691"/>
      <c r="GK30" s="691"/>
      <c r="GL30" s="691"/>
      <c r="GM30" s="691"/>
      <c r="GN30" s="691"/>
      <c r="GO30" s="691"/>
      <c r="GP30" s="691"/>
      <c r="GQ30" s="691"/>
      <c r="GR30" s="691"/>
      <c r="GS30" s="691"/>
      <c r="GT30" s="691"/>
      <c r="GU30" s="691"/>
      <c r="GV30" s="691"/>
      <c r="GW30" s="691"/>
      <c r="GX30" s="691"/>
      <c r="GY30" s="691"/>
      <c r="GZ30" s="691"/>
      <c r="HA30" s="691"/>
      <c r="HB30" s="691"/>
      <c r="HC30" s="691"/>
      <c r="HD30" s="691"/>
      <c r="HE30" s="691"/>
      <c r="HF30" s="691"/>
      <c r="HG30" s="691"/>
      <c r="HH30" s="691"/>
      <c r="HI30" s="691"/>
      <c r="HJ30" s="691"/>
      <c r="HK30" s="691"/>
      <c r="HL30" s="691"/>
      <c r="HM30" s="691"/>
      <c r="HN30" s="691"/>
      <c r="HO30" s="691"/>
      <c r="HP30" s="691"/>
      <c r="HQ30" s="691"/>
      <c r="HR30" s="691"/>
      <c r="HS30" s="691"/>
      <c r="HT30" s="691"/>
      <c r="HU30" s="691"/>
      <c r="HV30" s="691"/>
      <c r="HW30" s="691"/>
      <c r="HX30" s="691"/>
      <c r="HY30" s="691"/>
      <c r="HZ30" s="691"/>
      <c r="IA30" s="691"/>
      <c r="IB30" s="691"/>
      <c r="IC30" s="691"/>
      <c r="ID30" s="691"/>
      <c r="IE30" s="691"/>
      <c r="IF30" s="691"/>
      <c r="IG30" s="691"/>
      <c r="IH30" s="691"/>
      <c r="II30" s="691"/>
      <c r="IJ30" s="691"/>
      <c r="IK30" s="691"/>
      <c r="IL30" s="691"/>
      <c r="IM30" s="691"/>
      <c r="IN30" s="691"/>
    </row>
    <row r="31" spans="2:248" s="689" customFormat="1" ht="15.75">
      <c r="B31" s="697"/>
      <c r="C31" s="691"/>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8"/>
      <c r="BN31" s="690"/>
      <c r="BO31" s="690"/>
      <c r="BP31" s="690"/>
      <c r="BQ31" s="690"/>
      <c r="BR31" s="690"/>
      <c r="BS31" s="690"/>
      <c r="BT31" s="690"/>
      <c r="BU31" s="690"/>
      <c r="BV31" s="690"/>
      <c r="BW31" s="690"/>
      <c r="BX31" s="690"/>
      <c r="BY31" s="690"/>
      <c r="BZ31" s="690"/>
      <c r="CA31" s="690"/>
      <c r="CB31" s="690"/>
      <c r="CC31" s="690"/>
      <c r="CD31" s="690"/>
      <c r="CE31" s="690"/>
      <c r="CF31" s="690"/>
      <c r="CG31" s="690"/>
      <c r="CH31" s="690"/>
      <c r="CI31" s="690"/>
      <c r="CJ31" s="690"/>
      <c r="CK31" s="690"/>
      <c r="CL31" s="690"/>
      <c r="CM31" s="690"/>
      <c r="CN31" s="690"/>
      <c r="CO31" s="690"/>
      <c r="CP31" s="690"/>
      <c r="CQ31" s="690"/>
      <c r="CR31" s="690"/>
      <c r="CS31" s="690"/>
      <c r="CT31" s="690"/>
      <c r="CU31" s="690"/>
      <c r="CV31" s="690"/>
      <c r="CW31" s="690"/>
      <c r="CX31" s="690"/>
      <c r="CY31" s="690"/>
      <c r="CZ31" s="690"/>
      <c r="DA31" s="690"/>
      <c r="DB31" s="690"/>
      <c r="DC31" s="690"/>
      <c r="DD31" s="690"/>
      <c r="DE31" s="690"/>
      <c r="DF31" s="690"/>
      <c r="DG31" s="690"/>
      <c r="DH31" s="690"/>
      <c r="DI31" s="690"/>
      <c r="DJ31" s="690"/>
      <c r="DK31" s="690"/>
      <c r="DL31" s="690"/>
      <c r="DM31" s="690"/>
      <c r="DN31" s="690"/>
      <c r="DO31" s="690"/>
      <c r="DP31" s="690"/>
      <c r="DQ31" s="690"/>
      <c r="DR31" s="690"/>
      <c r="DS31" s="690"/>
      <c r="DT31" s="690"/>
      <c r="DU31" s="690"/>
      <c r="DV31" s="690"/>
      <c r="DW31" s="690"/>
      <c r="DX31" s="690"/>
      <c r="DY31" s="690"/>
      <c r="DZ31" s="690"/>
      <c r="EA31" s="690"/>
      <c r="EB31" s="690"/>
      <c r="EC31" s="690"/>
      <c r="ED31" s="690"/>
      <c r="EE31" s="690"/>
      <c r="EF31" s="690"/>
      <c r="EG31" s="690"/>
      <c r="EH31" s="690"/>
      <c r="EI31" s="690"/>
      <c r="EJ31" s="690"/>
      <c r="EK31" s="690"/>
      <c r="EL31" s="690"/>
      <c r="EM31" s="690"/>
      <c r="EN31" s="690"/>
      <c r="EO31" s="690"/>
      <c r="EP31" s="690"/>
      <c r="EQ31" s="690"/>
      <c r="ER31" s="690"/>
      <c r="ES31" s="690"/>
      <c r="ET31" s="690"/>
      <c r="EU31" s="690"/>
      <c r="EV31" s="690"/>
      <c r="EW31" s="690"/>
      <c r="EX31" s="690"/>
      <c r="EY31" s="690"/>
      <c r="EZ31" s="690"/>
      <c r="FA31" s="690"/>
      <c r="FB31" s="690"/>
      <c r="FC31" s="690"/>
      <c r="FD31" s="690"/>
      <c r="FE31" s="690"/>
      <c r="FF31" s="690"/>
      <c r="FG31" s="690"/>
      <c r="FH31" s="690"/>
      <c r="FI31" s="690"/>
      <c r="FJ31" s="690"/>
      <c r="FK31" s="690"/>
      <c r="FL31" s="690"/>
      <c r="FM31" s="690"/>
      <c r="FN31" s="690"/>
      <c r="FO31" s="690"/>
      <c r="FP31" s="690"/>
      <c r="FQ31" s="690"/>
      <c r="FR31" s="690"/>
      <c r="FS31" s="690"/>
      <c r="FT31" s="690"/>
      <c r="FU31" s="690"/>
      <c r="FV31" s="690"/>
      <c r="FW31" s="690"/>
      <c r="FX31" s="690"/>
      <c r="FY31" s="690"/>
      <c r="FZ31" s="690"/>
      <c r="GA31" s="690"/>
      <c r="GB31" s="690"/>
      <c r="GC31" s="690"/>
      <c r="GD31" s="690"/>
      <c r="GE31" s="690"/>
      <c r="GF31" s="690"/>
      <c r="GG31" s="690"/>
      <c r="GH31" s="690"/>
      <c r="GI31" s="690"/>
      <c r="GJ31" s="690"/>
      <c r="GK31" s="690"/>
      <c r="GL31" s="690"/>
      <c r="GM31" s="690"/>
      <c r="GN31" s="690"/>
      <c r="GO31" s="690"/>
      <c r="GP31" s="690"/>
      <c r="GQ31" s="690"/>
      <c r="GR31" s="690"/>
      <c r="GS31" s="690"/>
      <c r="GT31" s="690"/>
      <c r="GU31" s="690"/>
      <c r="GV31" s="690"/>
      <c r="GW31" s="690"/>
      <c r="GX31" s="690"/>
      <c r="GY31" s="690"/>
      <c r="GZ31" s="690"/>
      <c r="HA31" s="690"/>
      <c r="HB31" s="690"/>
      <c r="HC31" s="690"/>
      <c r="HD31" s="690"/>
      <c r="HE31" s="690"/>
      <c r="HF31" s="690"/>
      <c r="HG31" s="690"/>
      <c r="HH31" s="690"/>
      <c r="HI31" s="690"/>
      <c r="HJ31" s="690"/>
      <c r="HK31" s="690"/>
      <c r="HL31" s="690"/>
      <c r="HM31" s="690"/>
      <c r="HN31" s="690"/>
      <c r="HO31" s="690"/>
      <c r="HP31" s="690"/>
      <c r="HQ31" s="690"/>
      <c r="HR31" s="690"/>
      <c r="HS31" s="690"/>
      <c r="HT31" s="690"/>
      <c r="HU31" s="690"/>
      <c r="HV31" s="690"/>
      <c r="HW31" s="690"/>
      <c r="HX31" s="690"/>
      <c r="HY31" s="690"/>
      <c r="HZ31" s="690"/>
      <c r="IA31" s="690"/>
      <c r="IB31" s="690"/>
      <c r="IC31" s="690"/>
      <c r="ID31" s="690"/>
      <c r="IE31" s="690"/>
      <c r="IF31" s="690"/>
      <c r="IG31" s="690"/>
      <c r="IH31" s="690"/>
      <c r="II31" s="690"/>
      <c r="IJ31" s="690"/>
      <c r="IK31" s="690"/>
    </row>
    <row r="32" spans="2:248" s="689" customFormat="1" ht="15.75">
      <c r="B32" s="697"/>
      <c r="C32" s="38" t="s">
        <v>2079</v>
      </c>
      <c r="AF32" s="690"/>
      <c r="AG32" s="690"/>
      <c r="AH32" s="690"/>
      <c r="AI32" s="690"/>
      <c r="AJ32" s="690"/>
      <c r="AK32" s="690"/>
      <c r="AL32" s="690"/>
      <c r="AM32" s="690"/>
      <c r="AN32" s="690"/>
      <c r="AO32" s="690"/>
      <c r="AP32" s="690"/>
      <c r="AQ32" s="690"/>
      <c r="AR32" s="690"/>
      <c r="AS32" s="690"/>
      <c r="AT32" s="690"/>
      <c r="AU32" s="690"/>
      <c r="AV32" s="690"/>
      <c r="AW32" s="690"/>
      <c r="AX32" s="690"/>
      <c r="AY32" s="690"/>
      <c r="AZ32" s="690"/>
      <c r="BA32" s="690"/>
      <c r="BB32" s="690"/>
      <c r="BC32" s="690"/>
      <c r="BD32" s="690"/>
      <c r="BE32" s="690"/>
      <c r="BF32" s="690"/>
      <c r="BG32" s="690"/>
      <c r="BH32" s="690"/>
      <c r="BI32" s="690"/>
      <c r="BJ32" s="690"/>
      <c r="BK32" s="690"/>
      <c r="BL32" s="690"/>
      <c r="BM32" s="698"/>
      <c r="BN32" s="690"/>
      <c r="BO32" s="690"/>
      <c r="BP32" s="690"/>
      <c r="BQ32" s="690"/>
      <c r="BR32" s="690"/>
      <c r="BS32" s="690"/>
      <c r="BT32" s="690"/>
      <c r="BU32" s="690"/>
      <c r="BV32" s="690"/>
      <c r="BW32" s="690"/>
      <c r="BX32" s="690"/>
      <c r="BY32" s="690"/>
      <c r="BZ32" s="690"/>
      <c r="CA32" s="690"/>
      <c r="CB32" s="690"/>
      <c r="CC32" s="690"/>
      <c r="CD32" s="690"/>
      <c r="CE32" s="690"/>
      <c r="CF32" s="690"/>
      <c r="CG32" s="690"/>
      <c r="CH32" s="690"/>
      <c r="CI32" s="690"/>
      <c r="CJ32" s="690"/>
      <c r="CK32" s="690"/>
      <c r="CL32" s="690"/>
      <c r="CM32" s="690"/>
      <c r="CN32" s="690"/>
      <c r="CO32" s="690"/>
      <c r="CP32" s="690"/>
      <c r="CQ32" s="690"/>
      <c r="CR32" s="690"/>
      <c r="CS32" s="690"/>
      <c r="CT32" s="690"/>
      <c r="CU32" s="690"/>
      <c r="CV32" s="690"/>
      <c r="CW32" s="690"/>
      <c r="CX32" s="690"/>
      <c r="CY32" s="690"/>
      <c r="CZ32" s="690"/>
      <c r="DA32" s="690"/>
      <c r="DB32" s="690"/>
      <c r="DC32" s="690"/>
      <c r="DD32" s="690"/>
      <c r="DE32" s="690"/>
      <c r="DF32" s="690"/>
      <c r="DG32" s="690"/>
      <c r="DH32" s="690"/>
      <c r="DI32" s="690"/>
      <c r="DJ32" s="690"/>
      <c r="DK32" s="690"/>
      <c r="DL32" s="690"/>
      <c r="DM32" s="690"/>
      <c r="DN32" s="690"/>
      <c r="DO32" s="690"/>
      <c r="DP32" s="690"/>
      <c r="DQ32" s="690"/>
      <c r="DR32" s="690"/>
      <c r="DS32" s="690"/>
      <c r="DT32" s="690"/>
      <c r="DU32" s="690"/>
      <c r="DV32" s="690"/>
      <c r="DW32" s="690"/>
      <c r="DX32" s="690"/>
      <c r="DY32" s="690"/>
      <c r="DZ32" s="690"/>
      <c r="EA32" s="690"/>
      <c r="EB32" s="690"/>
      <c r="EC32" s="690"/>
      <c r="ED32" s="690"/>
      <c r="EE32" s="690"/>
      <c r="EF32" s="690"/>
      <c r="EG32" s="690"/>
      <c r="EH32" s="690"/>
      <c r="EI32" s="690"/>
      <c r="EJ32" s="690"/>
      <c r="EK32" s="690"/>
      <c r="EL32" s="690"/>
      <c r="EM32" s="690"/>
      <c r="EN32" s="690"/>
      <c r="EO32" s="690"/>
      <c r="EP32" s="690"/>
      <c r="EQ32" s="690"/>
      <c r="ER32" s="690"/>
      <c r="ES32" s="690"/>
      <c r="ET32" s="690"/>
      <c r="EU32" s="690"/>
      <c r="EV32" s="690"/>
      <c r="EW32" s="690"/>
      <c r="EX32" s="690"/>
      <c r="EY32" s="690"/>
      <c r="EZ32" s="690"/>
      <c r="FA32" s="690"/>
      <c r="FB32" s="690"/>
      <c r="FC32" s="690"/>
      <c r="FD32" s="690"/>
      <c r="FE32" s="690"/>
      <c r="FF32" s="690"/>
      <c r="FG32" s="690"/>
      <c r="FH32" s="690"/>
      <c r="FI32" s="690"/>
      <c r="FJ32" s="690"/>
      <c r="FK32" s="690"/>
      <c r="FL32" s="690"/>
      <c r="FM32" s="690"/>
      <c r="FN32" s="690"/>
      <c r="FO32" s="690"/>
      <c r="FP32" s="690"/>
      <c r="FQ32" s="690"/>
      <c r="FR32" s="690"/>
      <c r="FS32" s="690"/>
      <c r="FT32" s="690"/>
      <c r="FU32" s="690"/>
      <c r="FV32" s="690"/>
      <c r="FW32" s="690"/>
      <c r="FX32" s="690"/>
      <c r="FY32" s="690"/>
      <c r="FZ32" s="690"/>
      <c r="GA32" s="690"/>
      <c r="GB32" s="690"/>
      <c r="GC32" s="690"/>
      <c r="GD32" s="690"/>
      <c r="GE32" s="690"/>
      <c r="GF32" s="690"/>
      <c r="GG32" s="690"/>
      <c r="GH32" s="690"/>
      <c r="GI32" s="690"/>
      <c r="GJ32" s="690"/>
      <c r="GK32" s="690"/>
      <c r="GL32" s="690"/>
      <c r="GM32" s="690"/>
      <c r="GN32" s="690"/>
      <c r="GO32" s="690"/>
      <c r="GP32" s="690"/>
      <c r="GQ32" s="690"/>
      <c r="GR32" s="690"/>
      <c r="GS32" s="690"/>
      <c r="GT32" s="690"/>
      <c r="GU32" s="690"/>
      <c r="GV32" s="690"/>
      <c r="GW32" s="690"/>
      <c r="GX32" s="690"/>
      <c r="GY32" s="690"/>
      <c r="GZ32" s="690"/>
      <c r="HA32" s="690"/>
      <c r="HB32" s="690"/>
      <c r="HC32" s="690"/>
      <c r="HD32" s="690"/>
      <c r="HE32" s="690"/>
      <c r="HF32" s="690"/>
      <c r="HG32" s="690"/>
      <c r="HH32" s="690"/>
      <c r="HI32" s="690"/>
      <c r="HJ32" s="690"/>
      <c r="HK32" s="690"/>
      <c r="HL32" s="690"/>
      <c r="HM32" s="690"/>
      <c r="HN32" s="690"/>
      <c r="HO32" s="690"/>
      <c r="HP32" s="690"/>
      <c r="HQ32" s="690"/>
      <c r="HR32" s="690"/>
      <c r="HS32" s="690"/>
      <c r="HT32" s="690"/>
      <c r="HU32" s="690"/>
      <c r="HV32" s="690"/>
      <c r="HW32" s="690"/>
      <c r="HX32" s="690"/>
      <c r="HY32" s="690"/>
      <c r="HZ32" s="690"/>
      <c r="IA32" s="690"/>
      <c r="IB32" s="690"/>
      <c r="IC32" s="690"/>
      <c r="ID32" s="690"/>
      <c r="IE32" s="690"/>
      <c r="IF32" s="690"/>
      <c r="IG32" s="690"/>
      <c r="IH32" s="690"/>
      <c r="II32" s="690"/>
      <c r="IJ32" s="690"/>
      <c r="IK32" s="690"/>
    </row>
    <row r="33" spans="2:246" s="697" customFormat="1" ht="47.65" customHeight="1">
      <c r="B33" s="699"/>
      <c r="C33" s="700" t="s">
        <v>182</v>
      </c>
      <c r="D33" s="700" t="s">
        <v>2080</v>
      </c>
      <c r="E33" s="700" t="s">
        <v>2081</v>
      </c>
      <c r="F33" s="700" t="s">
        <v>2082</v>
      </c>
      <c r="G33" s="700" t="s">
        <v>2083</v>
      </c>
      <c r="H33" s="700" t="s">
        <v>2084</v>
      </c>
      <c r="I33" s="700" t="s">
        <v>2085</v>
      </c>
      <c r="J33" s="700" t="s">
        <v>2086</v>
      </c>
      <c r="K33" s="700" t="s">
        <v>2087</v>
      </c>
      <c r="L33" s="700" t="s">
        <v>2088</v>
      </c>
      <c r="M33" s="700" t="s">
        <v>2089</v>
      </c>
      <c r="N33" s="700" t="s">
        <v>2090</v>
      </c>
      <c r="O33" s="700" t="s">
        <v>2091</v>
      </c>
      <c r="P33" s="700" t="s">
        <v>2092</v>
      </c>
      <c r="Q33" s="700" t="s">
        <v>2093</v>
      </c>
      <c r="R33" s="700" t="s">
        <v>2094</v>
      </c>
      <c r="S33" s="691"/>
      <c r="U33" s="691"/>
      <c r="V33" s="691"/>
      <c r="W33" s="691"/>
      <c r="X33" s="691"/>
    </row>
    <row r="34" spans="2:246" s="697" customFormat="1">
      <c r="B34" s="699"/>
      <c r="C34" s="696"/>
      <c r="D34" s="696" t="s">
        <v>89</v>
      </c>
      <c r="E34" s="696" t="s">
        <v>89</v>
      </c>
      <c r="F34" s="696" t="s">
        <v>89</v>
      </c>
      <c r="G34" s="696" t="s">
        <v>89</v>
      </c>
      <c r="H34" s="696" t="s">
        <v>89</v>
      </c>
      <c r="I34" s="696" t="s">
        <v>89</v>
      </c>
      <c r="J34" s="696" t="s">
        <v>96</v>
      </c>
      <c r="K34" s="696" t="s">
        <v>2095</v>
      </c>
      <c r="L34" s="696" t="s">
        <v>86</v>
      </c>
      <c r="M34" s="696" t="s">
        <v>86</v>
      </c>
      <c r="N34" s="696" t="s">
        <v>2096</v>
      </c>
      <c r="O34" s="696" t="s">
        <v>2096</v>
      </c>
      <c r="P34" s="696" t="s">
        <v>2096</v>
      </c>
      <c r="Q34" s="696" t="s">
        <v>86</v>
      </c>
      <c r="R34" s="696" t="s">
        <v>86</v>
      </c>
      <c r="S34" s="691"/>
      <c r="U34" s="691"/>
      <c r="V34" s="691"/>
      <c r="W34" s="691"/>
      <c r="X34" s="691"/>
    </row>
    <row r="35" spans="2:246" s="697" customFormat="1" ht="15.75">
      <c r="B35" s="699"/>
      <c r="C35" s="22" t="s">
        <v>95</v>
      </c>
      <c r="D35" s="39">
        <v>50</v>
      </c>
      <c r="E35" s="39">
        <v>25</v>
      </c>
      <c r="F35" s="39">
        <v>500</v>
      </c>
      <c r="G35" s="39">
        <v>500</v>
      </c>
      <c r="H35" s="39">
        <v>500</v>
      </c>
      <c r="I35" s="39">
        <v>350</v>
      </c>
      <c r="J35" s="39">
        <v>48</v>
      </c>
      <c r="K35" s="39">
        <v>240</v>
      </c>
      <c r="L35" s="39">
        <v>60</v>
      </c>
      <c r="M35" s="39">
        <v>144</v>
      </c>
      <c r="N35" s="39">
        <v>500</v>
      </c>
      <c r="O35" s="39">
        <v>500</v>
      </c>
      <c r="P35" s="39">
        <v>500</v>
      </c>
      <c r="Q35" s="39">
        <v>5000</v>
      </c>
      <c r="R35" s="39">
        <v>150</v>
      </c>
      <c r="U35" s="691"/>
      <c r="V35" s="691"/>
      <c r="W35" s="691"/>
      <c r="X35" s="691"/>
    </row>
    <row r="36" spans="2:246" s="697" customFormat="1" ht="15.75">
      <c r="B36" s="699"/>
      <c r="C36" s="22" t="s">
        <v>20</v>
      </c>
      <c r="D36" s="39"/>
      <c r="E36" s="39"/>
      <c r="F36" s="39"/>
      <c r="G36" s="39"/>
      <c r="H36" s="40"/>
      <c r="I36" s="39">
        <v>500</v>
      </c>
      <c r="J36" s="39"/>
      <c r="K36" s="39"/>
      <c r="L36" s="39"/>
      <c r="M36" s="39"/>
      <c r="N36" s="39"/>
      <c r="O36" s="39"/>
      <c r="P36" s="39"/>
      <c r="Q36" s="39"/>
      <c r="R36" s="39"/>
      <c r="S36" s="691"/>
      <c r="U36" s="691"/>
      <c r="V36" s="691"/>
      <c r="W36" s="691"/>
      <c r="X36" s="691"/>
    </row>
    <row r="37" spans="2:246" s="697" customFormat="1" ht="15.75">
      <c r="B37" s="59" t="s">
        <v>2097</v>
      </c>
      <c r="C37" s="22"/>
      <c r="D37" s="691"/>
      <c r="E37" s="691"/>
      <c r="F37" s="691"/>
      <c r="G37" s="691"/>
      <c r="H37" s="691"/>
      <c r="I37" s="691"/>
      <c r="J37" s="691"/>
      <c r="K37" s="691"/>
      <c r="L37" s="691"/>
      <c r="M37" s="691"/>
      <c r="N37" s="691"/>
      <c r="O37" s="691"/>
      <c r="P37" s="691"/>
      <c r="Q37" s="691"/>
      <c r="R37" s="691"/>
      <c r="S37" s="691"/>
      <c r="U37" s="691"/>
      <c r="V37" s="691"/>
      <c r="W37" s="691"/>
      <c r="X37" s="691"/>
    </row>
    <row r="38" spans="2:246" s="689" customFormat="1">
      <c r="B38" s="699"/>
      <c r="C38" s="60" t="s">
        <v>21</v>
      </c>
      <c r="D38" s="61"/>
      <c r="E38" s="61"/>
      <c r="F38" s="61"/>
      <c r="G38" s="61"/>
      <c r="H38" s="61"/>
      <c r="I38" s="61"/>
      <c r="J38" s="61"/>
      <c r="K38" s="61"/>
      <c r="L38" s="61"/>
      <c r="M38" s="61"/>
      <c r="N38" s="61"/>
      <c r="O38" s="61"/>
      <c r="P38" s="61"/>
      <c r="Q38" s="61"/>
      <c r="R38" s="701"/>
      <c r="S38" s="701"/>
      <c r="T38" s="701"/>
      <c r="U38" s="701"/>
      <c r="V38" s="697"/>
      <c r="W38" s="690"/>
      <c r="X38" s="690"/>
      <c r="Y38" s="690"/>
      <c r="Z38" s="690"/>
      <c r="AA38" s="690"/>
      <c r="AB38" s="690"/>
      <c r="AC38" s="690"/>
      <c r="AD38" s="690"/>
      <c r="AE38" s="690"/>
      <c r="AF38" s="690"/>
      <c r="AG38" s="690"/>
      <c r="AH38" s="690"/>
      <c r="AI38" s="690"/>
      <c r="AJ38" s="690"/>
      <c r="AK38" s="690"/>
      <c r="AL38" s="690"/>
      <c r="AM38" s="690"/>
      <c r="AN38" s="690"/>
      <c r="AO38" s="690"/>
      <c r="AP38" s="690"/>
      <c r="AQ38" s="690"/>
      <c r="AR38" s="690"/>
      <c r="AS38" s="690"/>
      <c r="AT38" s="690"/>
      <c r="AU38" s="690"/>
      <c r="AV38" s="690"/>
      <c r="AW38" s="690"/>
      <c r="AX38" s="690"/>
      <c r="AY38" s="690"/>
      <c r="AZ38" s="690"/>
      <c r="BA38" s="690"/>
      <c r="BB38" s="690"/>
      <c r="BC38" s="690"/>
      <c r="BD38" s="690"/>
      <c r="BE38" s="690"/>
      <c r="BF38" s="690"/>
      <c r="BG38" s="690"/>
      <c r="BH38" s="690"/>
      <c r="BI38" s="690"/>
      <c r="BJ38" s="690"/>
      <c r="BK38" s="690"/>
      <c r="BL38" s="690"/>
      <c r="BM38" s="690"/>
      <c r="BN38" s="690"/>
      <c r="BO38" s="690"/>
      <c r="BP38" s="690"/>
      <c r="BQ38" s="690"/>
      <c r="BR38" s="690"/>
      <c r="BS38" s="690"/>
      <c r="BT38" s="690"/>
      <c r="BU38" s="690"/>
      <c r="BV38" s="690"/>
      <c r="BW38" s="690"/>
      <c r="BX38" s="690"/>
      <c r="BY38" s="690"/>
      <c r="BZ38" s="690"/>
      <c r="CA38" s="690"/>
      <c r="CB38" s="690"/>
      <c r="CC38" s="690"/>
      <c r="CD38" s="690"/>
      <c r="CE38" s="690"/>
      <c r="CF38" s="690"/>
      <c r="CG38" s="690"/>
      <c r="CH38" s="690"/>
      <c r="CI38" s="690"/>
      <c r="CJ38" s="690"/>
      <c r="CK38" s="690"/>
      <c r="CL38" s="690"/>
      <c r="CM38" s="690"/>
      <c r="CN38" s="690"/>
      <c r="CO38" s="690"/>
      <c r="CP38" s="690"/>
      <c r="CQ38" s="690"/>
      <c r="CR38" s="690"/>
      <c r="CS38" s="690"/>
      <c r="CT38" s="690"/>
      <c r="CU38" s="690"/>
      <c r="CV38" s="690"/>
      <c r="CW38" s="690"/>
      <c r="CX38" s="690"/>
      <c r="CY38" s="690"/>
      <c r="CZ38" s="690"/>
      <c r="DA38" s="690"/>
      <c r="DB38" s="690"/>
      <c r="DC38" s="690"/>
      <c r="DD38" s="690"/>
      <c r="DE38" s="690"/>
      <c r="DF38" s="690"/>
      <c r="DG38" s="690"/>
      <c r="DH38" s="690"/>
      <c r="DI38" s="690"/>
      <c r="DJ38" s="690"/>
      <c r="DK38" s="690"/>
      <c r="DL38" s="690"/>
      <c r="DM38" s="690"/>
      <c r="DN38" s="690"/>
      <c r="DO38" s="690"/>
      <c r="DP38" s="690"/>
      <c r="DQ38" s="690"/>
      <c r="DR38" s="690"/>
      <c r="DS38" s="690"/>
      <c r="DT38" s="690"/>
      <c r="DU38" s="690"/>
      <c r="DV38" s="690"/>
      <c r="DW38" s="690"/>
      <c r="DX38" s="690"/>
      <c r="DY38" s="690"/>
      <c r="DZ38" s="690"/>
      <c r="EA38" s="690"/>
      <c r="EB38" s="690"/>
      <c r="EC38" s="690"/>
      <c r="ED38" s="690"/>
      <c r="EE38" s="690"/>
      <c r="EF38" s="690"/>
      <c r="EG38" s="690"/>
      <c r="EH38" s="690"/>
      <c r="EI38" s="690"/>
      <c r="EJ38" s="690"/>
      <c r="EK38" s="690"/>
      <c r="EL38" s="690"/>
      <c r="EM38" s="690"/>
      <c r="EN38" s="690"/>
      <c r="EO38" s="690"/>
      <c r="EP38" s="690"/>
      <c r="EQ38" s="690"/>
      <c r="ER38" s="690"/>
      <c r="ES38" s="690"/>
      <c r="ET38" s="690"/>
      <c r="EU38" s="690"/>
      <c r="EV38" s="690"/>
      <c r="EW38" s="690"/>
      <c r="EX38" s="690"/>
      <c r="EY38" s="690"/>
      <c r="EZ38" s="690"/>
      <c r="FA38" s="690"/>
      <c r="FB38" s="690"/>
      <c r="FC38" s="690"/>
      <c r="FD38" s="690"/>
      <c r="FE38" s="690"/>
      <c r="FF38" s="690"/>
      <c r="FG38" s="690"/>
      <c r="FH38" s="690"/>
      <c r="FI38" s="690"/>
      <c r="FJ38" s="690"/>
      <c r="FK38" s="690"/>
      <c r="FL38" s="690"/>
      <c r="FM38" s="690"/>
      <c r="FN38" s="690"/>
      <c r="FO38" s="690"/>
      <c r="FP38" s="690"/>
      <c r="FQ38" s="690"/>
      <c r="FR38" s="690"/>
      <c r="FS38" s="690"/>
      <c r="FT38" s="690"/>
      <c r="FU38" s="690"/>
      <c r="FV38" s="690"/>
      <c r="FW38" s="690"/>
      <c r="FX38" s="690"/>
      <c r="FY38" s="690"/>
      <c r="FZ38" s="690"/>
      <c r="GA38" s="690"/>
      <c r="GB38" s="690"/>
      <c r="GC38" s="690"/>
      <c r="GD38" s="690"/>
      <c r="GE38" s="690"/>
      <c r="GF38" s="690"/>
      <c r="GG38" s="690"/>
      <c r="GH38" s="690"/>
      <c r="GI38" s="690"/>
      <c r="GJ38" s="690"/>
      <c r="GK38" s="690"/>
      <c r="GL38" s="690"/>
      <c r="GM38" s="690"/>
      <c r="GN38" s="690"/>
      <c r="GO38" s="690"/>
      <c r="GP38" s="690"/>
      <c r="GQ38" s="690"/>
      <c r="GR38" s="690"/>
      <c r="GS38" s="690"/>
      <c r="GT38" s="690"/>
      <c r="GU38" s="690"/>
      <c r="GV38" s="690"/>
      <c r="GW38" s="690"/>
      <c r="GX38" s="690"/>
      <c r="GY38" s="690"/>
      <c r="GZ38" s="690"/>
      <c r="HA38" s="690"/>
      <c r="HB38" s="690"/>
      <c r="HC38" s="690"/>
      <c r="HD38" s="690"/>
      <c r="HE38" s="690"/>
      <c r="HF38" s="690"/>
      <c r="HG38" s="690"/>
      <c r="HH38" s="690"/>
      <c r="HI38" s="690"/>
      <c r="HJ38" s="690"/>
      <c r="HK38" s="690"/>
      <c r="HL38" s="690"/>
      <c r="HM38" s="690"/>
      <c r="HN38" s="690"/>
      <c r="HO38" s="690"/>
      <c r="HP38" s="690"/>
      <c r="HQ38" s="690"/>
      <c r="HR38" s="690"/>
      <c r="HS38" s="690"/>
      <c r="HT38" s="690"/>
      <c r="HU38" s="690"/>
      <c r="HV38" s="690"/>
      <c r="HW38" s="690"/>
      <c r="HX38" s="690"/>
      <c r="HY38" s="690"/>
      <c r="HZ38" s="690"/>
      <c r="IA38" s="690"/>
      <c r="IB38" s="690"/>
      <c r="IC38" s="690"/>
      <c r="ID38" s="690"/>
      <c r="IE38" s="690"/>
      <c r="IF38" s="690"/>
      <c r="IG38" s="690"/>
      <c r="IH38" s="690"/>
      <c r="II38" s="690"/>
      <c r="IJ38" s="690"/>
      <c r="IK38" s="690"/>
    </row>
    <row r="39" spans="2:246" s="689" customFormat="1">
      <c r="B39" s="699"/>
      <c r="C39" s="702" t="s">
        <v>2098</v>
      </c>
      <c r="D39" s="703"/>
      <c r="E39" s="703"/>
      <c r="F39" s="703"/>
      <c r="G39" s="703"/>
      <c r="H39" s="703"/>
      <c r="I39" s="703"/>
      <c r="J39" s="703"/>
      <c r="K39" s="703"/>
      <c r="L39" s="703"/>
      <c r="M39" s="703"/>
      <c r="N39" s="703"/>
      <c r="O39" s="703"/>
      <c r="P39" s="703"/>
      <c r="Q39" s="703"/>
      <c r="R39" s="703"/>
      <c r="S39" s="703"/>
      <c r="T39" s="61"/>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c r="CB39" s="690"/>
      <c r="CC39" s="690"/>
      <c r="CD39" s="690"/>
      <c r="CE39" s="690"/>
      <c r="CF39" s="690"/>
      <c r="CG39" s="690"/>
      <c r="CH39" s="690"/>
      <c r="CI39" s="690"/>
      <c r="CJ39" s="690"/>
      <c r="CK39" s="690"/>
      <c r="CL39" s="690"/>
      <c r="CM39" s="690"/>
      <c r="CN39" s="690"/>
      <c r="CO39" s="690"/>
      <c r="CP39" s="690"/>
      <c r="CQ39" s="690"/>
      <c r="CR39" s="690"/>
      <c r="CS39" s="690"/>
      <c r="CT39" s="690"/>
      <c r="CU39" s="690"/>
      <c r="CV39" s="690"/>
      <c r="CW39" s="690"/>
      <c r="CX39" s="690"/>
      <c r="CY39" s="690"/>
      <c r="CZ39" s="690"/>
      <c r="DA39" s="690"/>
      <c r="DB39" s="690"/>
      <c r="DC39" s="690"/>
      <c r="DD39" s="690"/>
      <c r="DE39" s="690"/>
      <c r="DF39" s="690"/>
      <c r="DG39" s="690"/>
      <c r="DH39" s="690"/>
      <c r="DI39" s="690"/>
      <c r="DJ39" s="690"/>
      <c r="DK39" s="690"/>
      <c r="DL39" s="690"/>
      <c r="DM39" s="690"/>
      <c r="DN39" s="690"/>
      <c r="DO39" s="690"/>
      <c r="DP39" s="690"/>
      <c r="DQ39" s="690"/>
      <c r="DR39" s="690"/>
      <c r="DS39" s="690"/>
      <c r="DT39" s="690"/>
      <c r="DU39" s="690"/>
      <c r="DV39" s="690"/>
      <c r="DW39" s="690"/>
      <c r="DX39" s="690"/>
      <c r="DY39" s="690"/>
      <c r="DZ39" s="690"/>
      <c r="EA39" s="690"/>
      <c r="EB39" s="690"/>
      <c r="EC39" s="690"/>
      <c r="ED39" s="690"/>
      <c r="EE39" s="690"/>
      <c r="EF39" s="690"/>
      <c r="EG39" s="690"/>
      <c r="EH39" s="690"/>
      <c r="EI39" s="690"/>
      <c r="EJ39" s="690"/>
      <c r="EK39" s="690"/>
      <c r="EL39" s="690"/>
      <c r="EM39" s="690"/>
      <c r="EN39" s="690"/>
      <c r="EO39" s="690"/>
      <c r="EP39" s="690"/>
      <c r="EQ39" s="690"/>
      <c r="ER39" s="690"/>
      <c r="ES39" s="690"/>
      <c r="ET39" s="690"/>
      <c r="EU39" s="690"/>
      <c r="EV39" s="690"/>
      <c r="EW39" s="690"/>
      <c r="EX39" s="690"/>
      <c r="EY39" s="690"/>
      <c r="EZ39" s="690"/>
      <c r="FA39" s="690"/>
      <c r="FB39" s="690"/>
      <c r="FC39" s="690"/>
      <c r="FD39" s="690"/>
      <c r="FE39" s="690"/>
      <c r="FF39" s="690"/>
      <c r="FG39" s="690"/>
      <c r="FH39" s="690"/>
      <c r="FI39" s="690"/>
      <c r="FJ39" s="690"/>
      <c r="FK39" s="690"/>
      <c r="FL39" s="690"/>
      <c r="FM39" s="690"/>
      <c r="FN39" s="690"/>
      <c r="FO39" s="690"/>
      <c r="FP39" s="690"/>
      <c r="FQ39" s="690"/>
      <c r="FR39" s="690"/>
      <c r="FS39" s="690"/>
      <c r="FT39" s="690"/>
      <c r="FU39" s="690"/>
      <c r="FV39" s="690"/>
      <c r="FW39" s="690"/>
      <c r="FX39" s="690"/>
      <c r="FY39" s="690"/>
      <c r="FZ39" s="690"/>
      <c r="GA39" s="690"/>
      <c r="GB39" s="690"/>
      <c r="GC39" s="690"/>
      <c r="GD39" s="690"/>
      <c r="GE39" s="690"/>
      <c r="GF39" s="690"/>
      <c r="GG39" s="690"/>
      <c r="GH39" s="690"/>
      <c r="GI39" s="690"/>
      <c r="GJ39" s="690"/>
      <c r="GK39" s="690"/>
      <c r="GL39" s="690"/>
      <c r="GM39" s="690"/>
      <c r="GN39" s="690"/>
      <c r="GO39" s="690"/>
      <c r="GP39" s="690"/>
      <c r="GQ39" s="690"/>
      <c r="GR39" s="690"/>
      <c r="GS39" s="690"/>
      <c r="GT39" s="690"/>
      <c r="GU39" s="690"/>
      <c r="GV39" s="690"/>
      <c r="GW39" s="690"/>
      <c r="GX39" s="690"/>
      <c r="GY39" s="690"/>
      <c r="GZ39" s="690"/>
      <c r="HA39" s="690"/>
      <c r="HB39" s="690"/>
      <c r="HC39" s="690"/>
      <c r="HD39" s="690"/>
      <c r="HE39" s="690"/>
      <c r="HF39" s="690"/>
      <c r="HG39" s="690"/>
      <c r="HH39" s="690"/>
      <c r="HI39" s="690"/>
      <c r="HJ39" s="690"/>
      <c r="HK39" s="690"/>
      <c r="HL39" s="690"/>
      <c r="HM39" s="690"/>
      <c r="HN39" s="690"/>
      <c r="HO39" s="690"/>
      <c r="HP39" s="690"/>
      <c r="HQ39" s="690"/>
      <c r="HR39" s="690"/>
      <c r="HS39" s="690"/>
      <c r="HT39" s="690"/>
      <c r="HU39" s="690"/>
      <c r="HV39" s="690"/>
      <c r="HW39" s="690"/>
      <c r="HX39" s="690"/>
      <c r="HY39" s="690"/>
      <c r="HZ39" s="690"/>
      <c r="IA39" s="690"/>
      <c r="IB39" s="690"/>
      <c r="IC39" s="690"/>
      <c r="ID39" s="690"/>
      <c r="IE39" s="690"/>
      <c r="IF39" s="690"/>
      <c r="IG39" s="690"/>
      <c r="IH39" s="690"/>
      <c r="II39" s="690"/>
      <c r="IJ39" s="690"/>
      <c r="IK39" s="690"/>
      <c r="IL39" s="690"/>
    </row>
    <row r="40" spans="2:246" s="689" customFormat="1">
      <c r="B40" s="699"/>
      <c r="C40" s="702" t="s">
        <v>2099</v>
      </c>
      <c r="F40" s="703"/>
      <c r="G40" s="703"/>
      <c r="H40" s="703"/>
      <c r="I40" s="703"/>
      <c r="J40" s="703"/>
      <c r="K40" s="703"/>
      <c r="L40" s="703"/>
      <c r="M40" s="703"/>
      <c r="N40" s="703"/>
      <c r="O40" s="703"/>
      <c r="P40" s="703"/>
      <c r="Q40" s="703"/>
      <c r="R40" s="703"/>
      <c r="S40" s="703"/>
      <c r="T40" s="61"/>
      <c r="W40" s="690"/>
      <c r="X40" s="690"/>
      <c r="Y40" s="690"/>
      <c r="Z40" s="690"/>
      <c r="AA40" s="690"/>
      <c r="AB40" s="690"/>
      <c r="AC40" s="690"/>
      <c r="AD40" s="690"/>
      <c r="AE40" s="690"/>
      <c r="AF40" s="690"/>
      <c r="AG40" s="690"/>
      <c r="AH40" s="690"/>
      <c r="AI40" s="690"/>
      <c r="AJ40" s="690"/>
      <c r="AK40" s="690"/>
      <c r="AL40" s="690"/>
      <c r="AM40" s="690"/>
      <c r="AN40" s="690"/>
      <c r="AO40" s="690"/>
      <c r="AP40" s="690"/>
      <c r="AQ40" s="690"/>
      <c r="AR40" s="690"/>
      <c r="AS40" s="690"/>
      <c r="AT40" s="690"/>
      <c r="AU40" s="690"/>
      <c r="AV40" s="690"/>
      <c r="AW40" s="690"/>
      <c r="AX40" s="690"/>
      <c r="AY40" s="690"/>
      <c r="AZ40" s="690"/>
      <c r="BA40" s="690"/>
      <c r="BB40" s="690"/>
      <c r="BC40" s="690"/>
      <c r="BD40" s="690"/>
      <c r="BE40" s="690"/>
      <c r="BF40" s="690"/>
      <c r="BG40" s="690"/>
      <c r="BH40" s="690"/>
      <c r="BI40" s="690"/>
      <c r="BJ40" s="690"/>
      <c r="BK40" s="690"/>
      <c r="BL40" s="690"/>
      <c r="BM40" s="690"/>
      <c r="BN40" s="690"/>
      <c r="BO40" s="690"/>
      <c r="BP40" s="690"/>
      <c r="BQ40" s="690"/>
      <c r="BR40" s="690"/>
      <c r="BS40" s="690"/>
      <c r="BT40" s="690"/>
      <c r="BU40" s="690"/>
      <c r="BV40" s="690"/>
      <c r="BW40" s="690"/>
      <c r="BX40" s="690"/>
      <c r="BY40" s="690"/>
      <c r="BZ40" s="690"/>
      <c r="CA40" s="690"/>
      <c r="CB40" s="690"/>
      <c r="CC40" s="690"/>
      <c r="CD40" s="690"/>
      <c r="CE40" s="690"/>
      <c r="CF40" s="690"/>
      <c r="CG40" s="690"/>
      <c r="CH40" s="690"/>
      <c r="CI40" s="690"/>
      <c r="CJ40" s="690"/>
      <c r="CK40" s="690"/>
      <c r="CL40" s="690"/>
      <c r="CM40" s="690"/>
      <c r="CN40" s="690"/>
      <c r="CO40" s="690"/>
      <c r="CP40" s="690"/>
      <c r="CQ40" s="690"/>
      <c r="CR40" s="690"/>
      <c r="CS40" s="690"/>
      <c r="CT40" s="690"/>
      <c r="CU40" s="690"/>
      <c r="CV40" s="690"/>
      <c r="CW40" s="690"/>
      <c r="CX40" s="690"/>
      <c r="CY40" s="690"/>
      <c r="CZ40" s="690"/>
      <c r="DA40" s="690"/>
      <c r="DB40" s="690"/>
      <c r="DC40" s="690"/>
      <c r="DD40" s="690"/>
      <c r="DE40" s="690"/>
      <c r="DF40" s="690"/>
      <c r="DG40" s="690"/>
      <c r="DH40" s="690"/>
      <c r="DI40" s="690"/>
      <c r="DJ40" s="690"/>
      <c r="DK40" s="690"/>
      <c r="DL40" s="690"/>
      <c r="DM40" s="690"/>
      <c r="DN40" s="690"/>
      <c r="DO40" s="690"/>
      <c r="DP40" s="690"/>
      <c r="DQ40" s="690"/>
      <c r="DR40" s="690"/>
      <c r="DS40" s="690"/>
      <c r="DT40" s="690"/>
      <c r="DU40" s="690"/>
      <c r="DV40" s="690"/>
      <c r="DW40" s="690"/>
      <c r="DX40" s="690"/>
      <c r="DY40" s="690"/>
      <c r="DZ40" s="690"/>
      <c r="EA40" s="690"/>
      <c r="EB40" s="690"/>
      <c r="EC40" s="690"/>
      <c r="ED40" s="690"/>
      <c r="EE40" s="690"/>
      <c r="EF40" s="690"/>
      <c r="EG40" s="690"/>
      <c r="EH40" s="690"/>
      <c r="EI40" s="690"/>
      <c r="EJ40" s="690"/>
      <c r="EK40" s="690"/>
      <c r="EL40" s="690"/>
      <c r="EM40" s="690"/>
      <c r="EN40" s="690"/>
      <c r="EO40" s="690"/>
      <c r="EP40" s="690"/>
      <c r="EQ40" s="690"/>
      <c r="ER40" s="690"/>
      <c r="ES40" s="690"/>
      <c r="ET40" s="690"/>
      <c r="EU40" s="690"/>
      <c r="EV40" s="690"/>
      <c r="EW40" s="690"/>
      <c r="EX40" s="690"/>
      <c r="EY40" s="690"/>
      <c r="EZ40" s="690"/>
      <c r="FA40" s="690"/>
      <c r="FB40" s="690"/>
      <c r="FC40" s="690"/>
      <c r="FD40" s="690"/>
      <c r="FE40" s="690"/>
      <c r="FF40" s="690"/>
      <c r="FG40" s="690"/>
      <c r="FH40" s="690"/>
      <c r="FI40" s="690"/>
      <c r="FJ40" s="690"/>
      <c r="FK40" s="690"/>
      <c r="FL40" s="690"/>
      <c r="FM40" s="690"/>
      <c r="FN40" s="690"/>
      <c r="FO40" s="690"/>
      <c r="FP40" s="690"/>
      <c r="FQ40" s="690"/>
      <c r="FR40" s="690"/>
      <c r="FS40" s="690"/>
      <c r="FT40" s="690"/>
      <c r="FU40" s="690"/>
      <c r="FV40" s="690"/>
      <c r="FW40" s="690"/>
      <c r="FX40" s="690"/>
      <c r="FY40" s="690"/>
      <c r="FZ40" s="690"/>
      <c r="GA40" s="690"/>
      <c r="GB40" s="690"/>
      <c r="GC40" s="690"/>
      <c r="GD40" s="690"/>
      <c r="GE40" s="690"/>
      <c r="GF40" s="690"/>
      <c r="GG40" s="690"/>
      <c r="GH40" s="690"/>
      <c r="GI40" s="690"/>
      <c r="GJ40" s="690"/>
      <c r="GK40" s="690"/>
      <c r="GL40" s="690"/>
      <c r="GM40" s="690"/>
      <c r="GN40" s="690"/>
      <c r="GO40" s="690"/>
      <c r="GP40" s="690"/>
      <c r="GQ40" s="690"/>
      <c r="GR40" s="690"/>
      <c r="GS40" s="690"/>
      <c r="GT40" s="690"/>
      <c r="GU40" s="690"/>
      <c r="GV40" s="690"/>
      <c r="GW40" s="690"/>
      <c r="GX40" s="690"/>
      <c r="GY40" s="690"/>
      <c r="GZ40" s="690"/>
      <c r="HA40" s="690"/>
      <c r="HB40" s="690"/>
      <c r="HC40" s="690"/>
      <c r="HD40" s="690"/>
      <c r="HE40" s="690"/>
      <c r="HF40" s="690"/>
      <c r="HG40" s="690"/>
      <c r="HH40" s="690"/>
      <c r="HI40" s="690"/>
      <c r="HJ40" s="690"/>
      <c r="HK40" s="690"/>
      <c r="HL40" s="690"/>
      <c r="HM40" s="690"/>
      <c r="HN40" s="690"/>
      <c r="HO40" s="690"/>
      <c r="HP40" s="690"/>
      <c r="HQ40" s="690"/>
      <c r="HR40" s="690"/>
      <c r="HS40" s="690"/>
      <c r="HT40" s="690"/>
      <c r="HU40" s="690"/>
      <c r="HV40" s="690"/>
      <c r="HW40" s="690"/>
      <c r="HX40" s="690"/>
      <c r="HY40" s="690"/>
      <c r="HZ40" s="690"/>
      <c r="IA40" s="690"/>
      <c r="IB40" s="690"/>
      <c r="IC40" s="690"/>
      <c r="ID40" s="690"/>
      <c r="IE40" s="690"/>
      <c r="IF40" s="690"/>
      <c r="IG40" s="690"/>
      <c r="IH40" s="690"/>
      <c r="II40" s="690"/>
      <c r="IJ40" s="690"/>
      <c r="IK40" s="690"/>
      <c r="IL40" s="690"/>
    </row>
    <row r="41" spans="2:246" s="704" customFormat="1" ht="15">
      <c r="B41" s="699"/>
      <c r="C41" s="702" t="s">
        <v>2100</v>
      </c>
      <c r="D41" s="703"/>
      <c r="E41" s="703"/>
    </row>
    <row r="42" spans="2:246" s="689" customFormat="1" ht="15.75">
      <c r="B42" s="697"/>
      <c r="C42" s="704"/>
      <c r="D42" s="704"/>
      <c r="E42" s="705"/>
      <c r="AG42" s="690"/>
      <c r="AH42" s="690"/>
      <c r="AI42" s="690"/>
      <c r="AJ42" s="690"/>
      <c r="AK42" s="690"/>
      <c r="AL42" s="690"/>
      <c r="AM42" s="690"/>
      <c r="AN42" s="690"/>
      <c r="AO42" s="690"/>
      <c r="AP42" s="690"/>
      <c r="AQ42" s="690"/>
      <c r="AR42" s="690"/>
      <c r="AS42" s="690"/>
      <c r="AT42" s="690"/>
      <c r="AU42" s="690"/>
      <c r="AV42" s="690"/>
      <c r="AW42" s="690"/>
      <c r="AX42" s="690"/>
      <c r="AY42" s="690"/>
      <c r="AZ42" s="690"/>
      <c r="BA42" s="690"/>
      <c r="BB42" s="690"/>
      <c r="BC42" s="690"/>
      <c r="BD42" s="690"/>
      <c r="BE42" s="690"/>
      <c r="BF42" s="690"/>
      <c r="BG42" s="690"/>
      <c r="BH42" s="690"/>
      <c r="BI42" s="690"/>
      <c r="BJ42" s="690"/>
      <c r="BK42" s="690"/>
      <c r="BL42" s="690"/>
      <c r="BM42" s="690"/>
      <c r="BN42" s="698"/>
      <c r="BO42" s="690"/>
      <c r="BP42" s="690"/>
      <c r="BQ42" s="690"/>
      <c r="BR42" s="690"/>
      <c r="BS42" s="690"/>
      <c r="BT42" s="690"/>
      <c r="BU42" s="690"/>
      <c r="BV42" s="690"/>
      <c r="BW42" s="690"/>
      <c r="BX42" s="690"/>
      <c r="BY42" s="690"/>
      <c r="BZ42" s="690"/>
      <c r="CA42" s="690"/>
      <c r="CB42" s="690"/>
      <c r="CC42" s="690"/>
      <c r="CD42" s="690"/>
      <c r="CE42" s="690"/>
      <c r="CF42" s="690"/>
      <c r="CG42" s="690"/>
      <c r="CH42" s="690"/>
      <c r="CI42" s="690"/>
      <c r="CJ42" s="690"/>
      <c r="CK42" s="690"/>
      <c r="CL42" s="690"/>
      <c r="CM42" s="690"/>
      <c r="CN42" s="690"/>
      <c r="CO42" s="690"/>
      <c r="CP42" s="690"/>
      <c r="CQ42" s="690"/>
      <c r="CR42" s="690"/>
      <c r="CS42" s="690"/>
      <c r="CT42" s="690"/>
      <c r="CU42" s="690"/>
      <c r="CV42" s="690"/>
      <c r="CW42" s="690"/>
      <c r="CX42" s="690"/>
      <c r="CY42" s="690"/>
      <c r="CZ42" s="690"/>
      <c r="DA42" s="690"/>
      <c r="DB42" s="690"/>
      <c r="DC42" s="690"/>
      <c r="DD42" s="690"/>
      <c r="DE42" s="690"/>
      <c r="DF42" s="690"/>
      <c r="DG42" s="690"/>
      <c r="DH42" s="690"/>
      <c r="DI42" s="690"/>
      <c r="DJ42" s="690"/>
      <c r="DK42" s="690"/>
      <c r="DL42" s="690"/>
      <c r="DM42" s="690"/>
      <c r="DN42" s="690"/>
      <c r="DO42" s="690"/>
      <c r="DP42" s="690"/>
      <c r="DQ42" s="690"/>
      <c r="DR42" s="690"/>
      <c r="DS42" s="690"/>
      <c r="DT42" s="690"/>
      <c r="DU42" s="690"/>
      <c r="DV42" s="690"/>
      <c r="DW42" s="690"/>
      <c r="DX42" s="690"/>
      <c r="DY42" s="690"/>
      <c r="DZ42" s="690"/>
      <c r="EA42" s="690"/>
      <c r="EB42" s="690"/>
      <c r="EC42" s="690"/>
      <c r="ED42" s="690"/>
      <c r="EE42" s="690"/>
      <c r="EF42" s="690"/>
      <c r="EG42" s="690"/>
      <c r="EH42" s="690"/>
      <c r="EI42" s="690"/>
      <c r="EJ42" s="690"/>
      <c r="EK42" s="690"/>
      <c r="EL42" s="690"/>
      <c r="EM42" s="690"/>
      <c r="EN42" s="690"/>
      <c r="EO42" s="690"/>
      <c r="EP42" s="690"/>
      <c r="EQ42" s="690"/>
      <c r="ER42" s="690"/>
      <c r="ES42" s="690"/>
      <c r="ET42" s="690"/>
      <c r="EU42" s="690"/>
      <c r="EV42" s="690"/>
      <c r="EW42" s="690"/>
      <c r="EX42" s="690"/>
      <c r="EY42" s="690"/>
      <c r="EZ42" s="690"/>
      <c r="FA42" s="690"/>
      <c r="FB42" s="690"/>
      <c r="FC42" s="690"/>
      <c r="FD42" s="690"/>
      <c r="FE42" s="690"/>
      <c r="FF42" s="690"/>
      <c r="FG42" s="690"/>
      <c r="FH42" s="690"/>
      <c r="FI42" s="690"/>
      <c r="FJ42" s="690"/>
      <c r="FK42" s="690"/>
      <c r="FL42" s="690"/>
      <c r="FM42" s="690"/>
      <c r="FN42" s="690"/>
      <c r="FO42" s="690"/>
      <c r="FP42" s="690"/>
      <c r="FQ42" s="690"/>
      <c r="FR42" s="690"/>
      <c r="FS42" s="690"/>
      <c r="FT42" s="690"/>
      <c r="FU42" s="690"/>
      <c r="FV42" s="690"/>
      <c r="FW42" s="690"/>
      <c r="FX42" s="690"/>
      <c r="FY42" s="690"/>
      <c r="FZ42" s="690"/>
      <c r="GA42" s="690"/>
      <c r="GB42" s="690"/>
      <c r="GC42" s="690"/>
      <c r="GD42" s="690"/>
      <c r="GE42" s="690"/>
      <c r="GF42" s="690"/>
      <c r="GG42" s="690"/>
      <c r="GH42" s="690"/>
      <c r="GI42" s="690"/>
      <c r="GJ42" s="690"/>
      <c r="GK42" s="690"/>
      <c r="GL42" s="690"/>
      <c r="GM42" s="690"/>
      <c r="GN42" s="690"/>
      <c r="GO42" s="690"/>
      <c r="GP42" s="690"/>
      <c r="GQ42" s="690"/>
      <c r="GR42" s="690"/>
      <c r="GS42" s="690"/>
      <c r="GT42" s="690"/>
      <c r="GU42" s="690"/>
      <c r="GV42" s="690"/>
      <c r="GW42" s="690"/>
      <c r="GX42" s="690"/>
      <c r="GY42" s="690"/>
      <c r="GZ42" s="690"/>
      <c r="HA42" s="690"/>
      <c r="HB42" s="690"/>
      <c r="HC42" s="690"/>
      <c r="HD42" s="690"/>
      <c r="HE42" s="690"/>
      <c r="HF42" s="690"/>
      <c r="HG42" s="690"/>
      <c r="HH42" s="690"/>
      <c r="HI42" s="690"/>
      <c r="HJ42" s="690"/>
      <c r="HK42" s="690"/>
      <c r="HL42" s="690"/>
      <c r="HM42" s="690"/>
      <c r="HN42" s="690"/>
      <c r="HO42" s="690"/>
      <c r="HP42" s="690"/>
      <c r="HQ42" s="690"/>
      <c r="HR42" s="690"/>
      <c r="HS42" s="690"/>
      <c r="HT42" s="690"/>
      <c r="HU42" s="690"/>
      <c r="HV42" s="690"/>
      <c r="HW42" s="690"/>
      <c r="HX42" s="690"/>
      <c r="HY42" s="690"/>
      <c r="HZ42" s="690"/>
      <c r="IA42" s="690"/>
      <c r="IB42" s="690"/>
      <c r="IC42" s="690"/>
      <c r="ID42" s="690"/>
      <c r="IE42" s="690"/>
      <c r="IF42" s="690"/>
      <c r="IG42" s="690"/>
      <c r="IH42" s="690"/>
      <c r="II42" s="690"/>
      <c r="IJ42" s="690"/>
      <c r="IK42" s="690"/>
      <c r="IL42" s="690"/>
    </row>
    <row r="43" spans="2:246" s="704" customFormat="1" ht="15.75">
      <c r="B43" s="706"/>
      <c r="C43" s="688" t="s">
        <v>2101</v>
      </c>
      <c r="D43" s="689"/>
      <c r="E43" s="689"/>
      <c r="F43" s="689"/>
      <c r="G43" s="689"/>
      <c r="H43" s="689"/>
      <c r="I43" s="689"/>
      <c r="J43" s="689"/>
    </row>
    <row r="44" spans="2:246" s="704" customFormat="1" ht="17.25">
      <c r="B44" s="707"/>
      <c r="C44" s="26" t="s">
        <v>2102</v>
      </c>
      <c r="D44" s="26" t="s">
        <v>2103</v>
      </c>
      <c r="E44" s="26" t="s">
        <v>2104</v>
      </c>
      <c r="F44" s="26" t="s">
        <v>2105</v>
      </c>
      <c r="G44" s="26" t="s">
        <v>2106</v>
      </c>
      <c r="H44" s="26" t="s">
        <v>2107</v>
      </c>
      <c r="I44" s="26" t="s">
        <v>2108</v>
      </c>
      <c r="J44" s="689"/>
    </row>
    <row r="45" spans="2:246" s="704" customFormat="1" ht="15.75">
      <c r="B45" s="707"/>
      <c r="C45" s="25" t="s">
        <v>2109</v>
      </c>
      <c r="D45" s="45">
        <v>5.5869840000000002</v>
      </c>
      <c r="E45" s="45">
        <v>4.8524159999999998</v>
      </c>
      <c r="F45" s="45">
        <v>4.3190160000000004</v>
      </c>
      <c r="G45" s="45">
        <v>3.9380160000000002</v>
      </c>
      <c r="H45" s="45">
        <v>3.6819840000000004</v>
      </c>
      <c r="I45" s="45">
        <v>3.2522160000000002</v>
      </c>
      <c r="J45" s="689"/>
    </row>
    <row r="46" spans="2:246" s="704" customFormat="1" ht="15.75">
      <c r="B46" s="707"/>
      <c r="C46" s="25" t="s">
        <v>2110</v>
      </c>
      <c r="D46" s="45">
        <v>4</v>
      </c>
      <c r="E46" s="45">
        <v>3.5</v>
      </c>
      <c r="F46" s="45">
        <v>3</v>
      </c>
      <c r="G46" s="45">
        <v>3</v>
      </c>
      <c r="H46" s="45">
        <v>3</v>
      </c>
      <c r="I46" s="45">
        <v>3</v>
      </c>
      <c r="J46" s="689"/>
    </row>
    <row r="47" spans="2:246" s="704" customFormat="1" ht="15.75">
      <c r="B47" s="707"/>
      <c r="C47" s="25" t="s">
        <v>2111</v>
      </c>
      <c r="D47" s="45">
        <v>2.996184</v>
      </c>
      <c r="E47" s="45">
        <v>2.6426160000000003</v>
      </c>
      <c r="F47" s="45">
        <v>2.3378160000000001</v>
      </c>
      <c r="G47" s="45">
        <v>2.1579840000000003</v>
      </c>
      <c r="H47" s="45">
        <v>1.9812000000000001</v>
      </c>
      <c r="I47" s="45">
        <v>1.9812000000000001</v>
      </c>
      <c r="J47" s="689"/>
    </row>
    <row r="48" spans="2:246" s="704" customFormat="1" ht="15.75">
      <c r="B48" s="707"/>
      <c r="C48" s="25" t="s">
        <v>2112</v>
      </c>
      <c r="D48" s="45">
        <v>1.4478</v>
      </c>
      <c r="E48" s="45">
        <v>1.3197840000000001</v>
      </c>
      <c r="F48" s="45">
        <v>1.1795760000000002</v>
      </c>
      <c r="G48" s="45">
        <v>1.0911840000000002</v>
      </c>
      <c r="H48" s="45">
        <v>0.99060000000000004</v>
      </c>
      <c r="I48" s="45">
        <v>0.99060000000000004</v>
      </c>
      <c r="J48" s="689"/>
    </row>
    <row r="49" spans="2:17" s="704" customFormat="1" ht="15.75">
      <c r="B49" s="707"/>
      <c r="C49" s="25" t="s">
        <v>2113</v>
      </c>
      <c r="D49" s="45">
        <v>4.4439840000000004</v>
      </c>
      <c r="E49" s="45">
        <v>3.9624000000000001</v>
      </c>
      <c r="F49" s="45">
        <v>3.5173920000000001</v>
      </c>
      <c r="G49" s="45">
        <v>3.2491680000000001</v>
      </c>
      <c r="H49" s="45">
        <v>2.9718</v>
      </c>
      <c r="I49" s="45">
        <v>2.9718</v>
      </c>
      <c r="J49" s="689"/>
    </row>
    <row r="50" spans="2:17" s="704" customFormat="1" ht="15.75">
      <c r="B50" s="707"/>
      <c r="C50" s="25" t="s">
        <v>2114</v>
      </c>
      <c r="D50" s="45">
        <v>1.6093440000000001</v>
      </c>
      <c r="E50" s="45">
        <v>1.6093440000000001</v>
      </c>
      <c r="F50" s="45">
        <v>1.6093440000000001</v>
      </c>
      <c r="G50" s="45">
        <v>1.6093440000000001</v>
      </c>
      <c r="H50" s="45">
        <v>1.6093440000000001</v>
      </c>
      <c r="I50" s="45">
        <v>1.6093440000000001</v>
      </c>
      <c r="J50" s="689"/>
    </row>
    <row r="51" spans="2:17" s="704" customFormat="1" ht="15.75">
      <c r="B51" s="707"/>
      <c r="C51" s="25" t="s">
        <v>2115</v>
      </c>
      <c r="D51" s="45">
        <v>0.25</v>
      </c>
      <c r="E51" s="45">
        <v>0.25</v>
      </c>
      <c r="F51" s="45">
        <v>0.25</v>
      </c>
      <c r="G51" s="45">
        <v>0.25</v>
      </c>
      <c r="H51" s="45">
        <v>0.25</v>
      </c>
      <c r="I51" s="45">
        <v>0.25</v>
      </c>
      <c r="J51" s="689"/>
    </row>
    <row r="52" spans="2:17" s="704" customFormat="1" ht="15.75">
      <c r="B52" s="707"/>
      <c r="C52" s="25" t="s">
        <v>2116</v>
      </c>
      <c r="D52" s="45">
        <v>1</v>
      </c>
      <c r="E52" s="45">
        <v>1</v>
      </c>
      <c r="F52" s="45">
        <v>1</v>
      </c>
      <c r="G52" s="45">
        <v>1</v>
      </c>
      <c r="H52" s="45">
        <v>1</v>
      </c>
      <c r="I52" s="45">
        <v>1</v>
      </c>
      <c r="J52" s="689"/>
    </row>
    <row r="53" spans="2:17" s="704" customFormat="1" ht="15.75">
      <c r="B53" s="707"/>
      <c r="C53" s="25" t="s">
        <v>2117</v>
      </c>
      <c r="D53" s="39">
        <v>1609.3440000000001</v>
      </c>
      <c r="E53" s="39">
        <v>1609.3440000000001</v>
      </c>
      <c r="F53" s="39">
        <v>1609.3440000000001</v>
      </c>
      <c r="G53" s="39">
        <v>1609.3440000000001</v>
      </c>
      <c r="H53" s="39">
        <v>1609.3440000000001</v>
      </c>
      <c r="I53" s="39">
        <v>1609.3440000000001</v>
      </c>
      <c r="J53" s="689"/>
    </row>
    <row r="54" spans="2:17" s="704" customFormat="1" ht="15"/>
    <row r="55" spans="2:17" s="704" customFormat="1" ht="15.75">
      <c r="B55" s="706"/>
      <c r="C55" s="688" t="s">
        <v>2118</v>
      </c>
    </row>
    <row r="56" spans="2:17" s="704" customFormat="1" ht="17.25">
      <c r="B56" s="707"/>
      <c r="C56" s="28" t="s">
        <v>2119</v>
      </c>
    </row>
    <row r="57" spans="2:17" s="704" customFormat="1" ht="17.25">
      <c r="B57" s="707"/>
      <c r="C57" s="708" t="s">
        <v>2120</v>
      </c>
      <c r="D57" s="27">
        <v>1</v>
      </c>
      <c r="E57" s="27">
        <v>1</v>
      </c>
      <c r="F57" s="27">
        <v>1</v>
      </c>
      <c r="G57" s="27">
        <v>1</v>
      </c>
      <c r="H57" s="27">
        <v>1</v>
      </c>
      <c r="I57" s="27">
        <v>1</v>
      </c>
      <c r="J57" s="27">
        <v>1</v>
      </c>
      <c r="K57" s="27">
        <v>1</v>
      </c>
      <c r="L57" s="27">
        <v>2</v>
      </c>
      <c r="M57" s="27">
        <v>2</v>
      </c>
      <c r="N57" s="27">
        <v>3</v>
      </c>
      <c r="O57" s="27">
        <v>3</v>
      </c>
      <c r="P57" s="27">
        <v>3</v>
      </c>
      <c r="Q57" s="27">
        <v>4</v>
      </c>
    </row>
    <row r="58" spans="2:17" s="704" customFormat="1" ht="15">
      <c r="B58" s="707"/>
      <c r="C58" s="708" t="s">
        <v>2121</v>
      </c>
      <c r="D58" s="29">
        <v>20</v>
      </c>
      <c r="E58" s="29">
        <v>30</v>
      </c>
      <c r="F58" s="29">
        <v>50</v>
      </c>
      <c r="G58" s="29">
        <v>75</v>
      </c>
      <c r="H58" s="29">
        <v>100</v>
      </c>
      <c r="I58" s="29">
        <v>125</v>
      </c>
      <c r="J58" s="29">
        <v>150</v>
      </c>
      <c r="K58" s="29">
        <v>200</v>
      </c>
      <c r="L58" s="29">
        <v>250</v>
      </c>
      <c r="M58" s="29">
        <v>300</v>
      </c>
      <c r="N58" s="29">
        <v>350</v>
      </c>
      <c r="O58" s="29">
        <v>400</v>
      </c>
      <c r="P58" s="29">
        <v>450</v>
      </c>
      <c r="Q58" s="29">
        <v>500</v>
      </c>
    </row>
    <row r="59" spans="2:17" s="704" customFormat="1" ht="15.75">
      <c r="B59" s="707"/>
      <c r="C59" s="25" t="s">
        <v>2</v>
      </c>
      <c r="D59" s="39">
        <v>430</v>
      </c>
      <c r="E59" s="39">
        <v>397.56854800000002</v>
      </c>
      <c r="F59" s="39">
        <v>195.75052015680001</v>
      </c>
      <c r="G59" s="39">
        <v>150.30843512039999</v>
      </c>
      <c r="H59" s="39">
        <v>104.86635008399999</v>
      </c>
      <c r="I59" s="39"/>
      <c r="J59" s="39"/>
      <c r="K59" s="39"/>
      <c r="L59" s="39"/>
      <c r="M59" s="39"/>
      <c r="N59" s="39"/>
      <c r="O59" s="39"/>
      <c r="P59" s="39"/>
      <c r="Q59" s="39"/>
    </row>
    <row r="60" spans="2:17" s="704" customFormat="1" ht="15.75">
      <c r="B60" s="707"/>
      <c r="C60" s="25" t="s">
        <v>3</v>
      </c>
      <c r="D60" s="39">
        <v>582.59083380000004</v>
      </c>
      <c r="E60" s="39">
        <v>535.18843000000004</v>
      </c>
      <c r="F60" s="39">
        <v>349.55450028000001</v>
      </c>
      <c r="G60" s="39">
        <v>262.16587521000002</v>
      </c>
      <c r="H60" s="39">
        <v>174.77725014000001</v>
      </c>
      <c r="I60" s="39"/>
      <c r="J60" s="39"/>
      <c r="K60" s="39"/>
      <c r="L60" s="39"/>
      <c r="M60" s="39"/>
      <c r="N60" s="39"/>
      <c r="O60" s="39"/>
      <c r="P60" s="39"/>
      <c r="Q60" s="39"/>
    </row>
    <row r="61" spans="2:17" s="704" customFormat="1" ht="15.75">
      <c r="B61" s="707"/>
      <c r="C61" s="25" t="s">
        <v>4</v>
      </c>
      <c r="D61" s="39">
        <v>815.62716732000013</v>
      </c>
      <c r="E61" s="39">
        <v>649.87166500000001</v>
      </c>
      <c r="F61" s="39">
        <v>442.76903368799998</v>
      </c>
      <c r="G61" s="39">
        <v>317.51200442099997</v>
      </c>
      <c r="H61" s="39">
        <v>192.25497515399999</v>
      </c>
      <c r="I61" s="39">
        <v>130.50034677120001</v>
      </c>
      <c r="J61" s="39">
        <v>97.098472300000012</v>
      </c>
      <c r="K61" s="39">
        <v>69.910900056000003</v>
      </c>
      <c r="L61" s="39"/>
      <c r="M61" s="39"/>
      <c r="N61" s="39"/>
      <c r="O61" s="39"/>
      <c r="P61" s="39"/>
      <c r="Q61" s="39"/>
    </row>
    <row r="62" spans="2:17" s="704" customFormat="1" ht="15.75">
      <c r="B62" s="707"/>
      <c r="C62" s="25" t="s">
        <v>5</v>
      </c>
      <c r="D62" s="39">
        <v>1165.1816676000001</v>
      </c>
      <c r="E62" s="39">
        <v>955.693625</v>
      </c>
      <c r="F62" s="39">
        <v>652.5017338560001</v>
      </c>
      <c r="G62" s="39">
        <v>483.5503920540001</v>
      </c>
      <c r="H62" s="39">
        <v>314.59905025200004</v>
      </c>
      <c r="I62" s="39">
        <v>223.71488017920001</v>
      </c>
      <c r="J62" s="39">
        <v>194.19694460000002</v>
      </c>
      <c r="K62" s="39">
        <v>139.82180011200001</v>
      </c>
      <c r="L62" s="39">
        <v>298.86909773940005</v>
      </c>
      <c r="M62" s="39">
        <v>201.34339216128001</v>
      </c>
      <c r="N62" s="39">
        <v>190.15764815232001</v>
      </c>
      <c r="O62" s="39">
        <v>178.97190414336001</v>
      </c>
      <c r="P62" s="39">
        <v>167.78616013440001</v>
      </c>
      <c r="Q62" s="39"/>
    </row>
    <row r="63" spans="2:17" s="704" customFormat="1" ht="15.75">
      <c r="B63" s="707"/>
      <c r="C63" s="25" t="s">
        <v>6</v>
      </c>
      <c r="D63" s="39">
        <v>1631.2543346400003</v>
      </c>
      <c r="E63" s="39">
        <v>1299.74333</v>
      </c>
      <c r="F63" s="39">
        <v>885.53806737599996</v>
      </c>
      <c r="G63" s="39">
        <v>661.2405963629999</v>
      </c>
      <c r="H63" s="39">
        <v>436.94312534999995</v>
      </c>
      <c r="I63" s="39">
        <v>372.85813363200003</v>
      </c>
      <c r="J63" s="39">
        <v>318.48298914400004</v>
      </c>
      <c r="K63" s="39">
        <v>244.68815019600004</v>
      </c>
      <c r="L63" s="39">
        <v>415.09596908249995</v>
      </c>
      <c r="M63" s="39">
        <v>393.24881281499995</v>
      </c>
      <c r="N63" s="39">
        <v>371.40165654749995</v>
      </c>
      <c r="O63" s="39">
        <v>349.55450027999996</v>
      </c>
      <c r="P63" s="39">
        <v>327.70734401249996</v>
      </c>
      <c r="Q63" s="39">
        <v>354.21522695039999</v>
      </c>
    </row>
    <row r="64" spans="2:17" s="704" customFormat="1" ht="15.75">
      <c r="B64" s="707"/>
      <c r="C64" s="25" t="s">
        <v>7</v>
      </c>
      <c r="D64" s="39">
        <v>2796.4360022400001</v>
      </c>
      <c r="E64" s="39">
        <v>2140.7537200000002</v>
      </c>
      <c r="F64" s="39">
        <v>1398.2180011200001</v>
      </c>
      <c r="G64" s="39">
        <v>1048.6635008400001</v>
      </c>
      <c r="H64" s="39">
        <v>699.10900056000003</v>
      </c>
      <c r="I64" s="39">
        <v>559.28720044800002</v>
      </c>
      <c r="J64" s="39">
        <v>466.07266704</v>
      </c>
      <c r="K64" s="39">
        <v>349.55450028000001</v>
      </c>
      <c r="L64" s="39">
        <v>664.15355053199994</v>
      </c>
      <c r="M64" s="39">
        <v>629.19810050400008</v>
      </c>
      <c r="N64" s="39">
        <v>594.24265047599999</v>
      </c>
      <c r="O64" s="39">
        <v>559.28720044800002</v>
      </c>
      <c r="P64" s="39">
        <v>524.33175042000005</v>
      </c>
      <c r="Q64" s="39">
        <v>531.32284042560002</v>
      </c>
    </row>
    <row r="65" spans="1:245" s="704" customFormat="1" ht="15"/>
    <row r="66" spans="1:245" s="697" customFormat="1" ht="15.75">
      <c r="C66" s="38" t="s">
        <v>2122</v>
      </c>
      <c r="N66" s="691"/>
      <c r="O66" s="691"/>
      <c r="P66" s="691"/>
      <c r="Q66" s="691"/>
      <c r="R66" s="691"/>
      <c r="S66" s="691"/>
      <c r="T66" s="691"/>
      <c r="V66" s="691"/>
      <c r="W66" s="691"/>
      <c r="X66" s="691"/>
      <c r="Y66" s="691"/>
    </row>
    <row r="67" spans="1:245" s="697" customFormat="1" ht="45">
      <c r="B67" s="699"/>
      <c r="C67" s="696" t="s">
        <v>2123</v>
      </c>
      <c r="D67" s="696"/>
      <c r="E67" s="696" t="s">
        <v>160</v>
      </c>
      <c r="F67" s="696" t="s">
        <v>160</v>
      </c>
      <c r="G67" s="696" t="s">
        <v>2124</v>
      </c>
      <c r="H67" s="696" t="s">
        <v>2125</v>
      </c>
      <c r="I67" s="696" t="s">
        <v>2126</v>
      </c>
      <c r="J67" s="696" t="s">
        <v>2127</v>
      </c>
      <c r="K67" s="696" t="s">
        <v>2128</v>
      </c>
      <c r="L67" s="696" t="s">
        <v>2129</v>
      </c>
      <c r="N67" s="691"/>
      <c r="O67" s="691"/>
      <c r="P67" s="691"/>
      <c r="Q67" s="691"/>
      <c r="R67" s="691"/>
      <c r="V67" s="691"/>
      <c r="W67" s="691"/>
      <c r="X67" s="691"/>
      <c r="Y67" s="691"/>
    </row>
    <row r="68" spans="1:245" s="697" customFormat="1">
      <c r="B68" s="699"/>
      <c r="C68" s="696"/>
      <c r="D68" s="696"/>
      <c r="E68" s="696" t="s">
        <v>15</v>
      </c>
      <c r="F68" s="696" t="s">
        <v>126</v>
      </c>
      <c r="G68" s="696" t="s">
        <v>19</v>
      </c>
      <c r="H68" s="696" t="s">
        <v>85</v>
      </c>
      <c r="I68" s="696" t="s">
        <v>85</v>
      </c>
      <c r="J68" s="696" t="s">
        <v>2095</v>
      </c>
      <c r="K68" s="696" t="s">
        <v>2095</v>
      </c>
      <c r="L68" s="696" t="s">
        <v>2130</v>
      </c>
      <c r="N68" s="691"/>
      <c r="O68" s="691"/>
      <c r="P68" s="691"/>
      <c r="Q68" s="691"/>
      <c r="V68" s="691"/>
      <c r="W68" s="691"/>
      <c r="X68" s="691"/>
      <c r="Y68" s="691"/>
    </row>
    <row r="69" spans="1:245" s="697" customFormat="1" ht="15.75">
      <c r="B69" s="699"/>
      <c r="C69" s="22" t="s">
        <v>9</v>
      </c>
      <c r="D69" s="22"/>
      <c r="E69" s="39">
        <v>80</v>
      </c>
      <c r="F69" s="689"/>
      <c r="G69" s="39">
        <v>24</v>
      </c>
      <c r="H69" s="39">
        <v>65</v>
      </c>
      <c r="N69" s="691"/>
      <c r="O69" s="691"/>
      <c r="P69" s="691"/>
      <c r="Q69" s="691"/>
      <c r="V69" s="691"/>
      <c r="W69" s="691"/>
      <c r="X69" s="691"/>
      <c r="Y69" s="691"/>
    </row>
    <row r="70" spans="1:245" s="697" customFormat="1" ht="15.75">
      <c r="B70" s="699"/>
      <c r="C70" s="22" t="s">
        <v>12</v>
      </c>
      <c r="D70" s="22"/>
      <c r="E70" s="39">
        <v>120</v>
      </c>
      <c r="F70" s="689"/>
      <c r="G70" s="39">
        <v>40.5</v>
      </c>
      <c r="N70" s="691"/>
      <c r="O70" s="691"/>
      <c r="P70" s="691"/>
      <c r="Q70" s="691"/>
      <c r="V70" s="691"/>
      <c r="W70" s="691"/>
      <c r="X70" s="691"/>
      <c r="Y70" s="691"/>
    </row>
    <row r="71" spans="1:245" s="697" customFormat="1" ht="15.75">
      <c r="B71" s="699"/>
      <c r="C71" s="22" t="s">
        <v>10</v>
      </c>
      <c r="D71" s="22"/>
      <c r="E71" s="689"/>
      <c r="F71" s="689"/>
      <c r="G71" s="39">
        <v>50</v>
      </c>
      <c r="L71" s="39">
        <v>20</v>
      </c>
      <c r="N71" s="691"/>
      <c r="O71" s="691"/>
      <c r="P71" s="691"/>
      <c r="Q71" s="691"/>
      <c r="V71" s="691"/>
      <c r="W71" s="691"/>
      <c r="X71" s="691"/>
      <c r="Y71" s="691"/>
    </row>
    <row r="72" spans="1:245" s="697" customFormat="1" ht="15.75">
      <c r="B72" s="699"/>
      <c r="C72" s="22" t="s">
        <v>11</v>
      </c>
      <c r="D72" s="22"/>
      <c r="E72" s="39">
        <v>18</v>
      </c>
      <c r="F72" s="39">
        <v>18000</v>
      </c>
      <c r="G72" s="689"/>
      <c r="H72" s="39">
        <v>90</v>
      </c>
      <c r="I72" s="39">
        <v>95</v>
      </c>
      <c r="J72" s="39">
        <v>9000</v>
      </c>
      <c r="K72" s="39">
        <v>10000</v>
      </c>
      <c r="N72" s="691"/>
      <c r="O72" s="691"/>
      <c r="P72" s="691"/>
      <c r="Q72" s="691"/>
      <c r="R72" s="691"/>
      <c r="V72" s="691"/>
      <c r="W72" s="691"/>
      <c r="X72" s="691"/>
      <c r="Y72" s="691"/>
    </row>
    <row r="73" spans="1:245" s="697" customFormat="1" ht="15.75">
      <c r="B73" s="699"/>
      <c r="C73" s="22" t="s">
        <v>2131</v>
      </c>
      <c r="D73" s="22"/>
      <c r="E73" s="689"/>
      <c r="F73" s="689"/>
      <c r="G73" s="689"/>
      <c r="H73" s="39">
        <v>80</v>
      </c>
      <c r="I73" s="39">
        <v>90</v>
      </c>
      <c r="N73" s="691"/>
      <c r="O73" s="691"/>
      <c r="P73" s="691"/>
      <c r="Q73" s="691"/>
      <c r="V73" s="691"/>
      <c r="W73" s="691"/>
      <c r="X73" s="691"/>
      <c r="Y73" s="691"/>
    </row>
    <row r="74" spans="1:245" s="689" customFormat="1" ht="15.75">
      <c r="B74" s="697"/>
      <c r="C74" s="41"/>
      <c r="D74" s="41"/>
      <c r="E74" s="41"/>
      <c r="AF74" s="690"/>
      <c r="AG74" s="690"/>
      <c r="AH74" s="690"/>
      <c r="AI74" s="690"/>
      <c r="AJ74" s="690"/>
      <c r="AK74" s="690"/>
      <c r="AL74" s="690"/>
      <c r="AM74" s="690"/>
      <c r="AN74" s="690"/>
      <c r="AO74" s="690"/>
      <c r="AP74" s="690"/>
      <c r="AQ74" s="690"/>
      <c r="AR74" s="690"/>
      <c r="AS74" s="690"/>
      <c r="AT74" s="690"/>
      <c r="AU74" s="690"/>
      <c r="AV74" s="690"/>
      <c r="AW74" s="690"/>
      <c r="AX74" s="690"/>
      <c r="AY74" s="690"/>
      <c r="AZ74" s="690"/>
      <c r="BA74" s="690"/>
      <c r="BB74" s="690"/>
      <c r="BC74" s="690"/>
      <c r="BD74" s="690"/>
      <c r="BE74" s="690"/>
      <c r="BF74" s="690"/>
      <c r="BG74" s="690"/>
      <c r="BH74" s="690"/>
      <c r="BI74" s="690"/>
      <c r="BJ74" s="690"/>
      <c r="BK74" s="690"/>
      <c r="BL74" s="690"/>
      <c r="BM74" s="698"/>
      <c r="BN74" s="690"/>
      <c r="BO74" s="690"/>
      <c r="BP74" s="690"/>
      <c r="BQ74" s="690"/>
      <c r="BR74" s="690"/>
      <c r="BS74" s="690"/>
      <c r="BT74" s="690"/>
      <c r="BU74" s="690"/>
      <c r="BV74" s="690"/>
      <c r="BW74" s="690"/>
      <c r="BX74" s="690"/>
      <c r="BY74" s="690"/>
      <c r="BZ74" s="690"/>
      <c r="CA74" s="690"/>
      <c r="CB74" s="690"/>
      <c r="CC74" s="690"/>
      <c r="CD74" s="690"/>
      <c r="CE74" s="690"/>
      <c r="CF74" s="690"/>
      <c r="CG74" s="690"/>
      <c r="CH74" s="690"/>
      <c r="CI74" s="690"/>
      <c r="CJ74" s="690"/>
      <c r="CK74" s="690"/>
      <c r="CL74" s="690"/>
      <c r="CM74" s="690"/>
      <c r="CN74" s="690"/>
      <c r="CO74" s="690"/>
      <c r="CP74" s="690"/>
      <c r="CQ74" s="690"/>
      <c r="CR74" s="690"/>
      <c r="CS74" s="690"/>
      <c r="CT74" s="690"/>
      <c r="CU74" s="690"/>
      <c r="CV74" s="690"/>
      <c r="CW74" s="690"/>
      <c r="CX74" s="690"/>
      <c r="CY74" s="690"/>
      <c r="CZ74" s="690"/>
      <c r="DA74" s="690"/>
      <c r="DB74" s="690"/>
      <c r="DC74" s="690"/>
      <c r="DD74" s="690"/>
      <c r="DE74" s="690"/>
      <c r="DF74" s="690"/>
      <c r="DG74" s="690"/>
      <c r="DH74" s="690"/>
      <c r="DI74" s="690"/>
      <c r="DJ74" s="690"/>
      <c r="DK74" s="690"/>
      <c r="DL74" s="690"/>
      <c r="DM74" s="690"/>
      <c r="DN74" s="690"/>
      <c r="DO74" s="690"/>
      <c r="DP74" s="690"/>
      <c r="DQ74" s="690"/>
      <c r="DR74" s="690"/>
      <c r="DS74" s="690"/>
      <c r="DT74" s="690"/>
      <c r="DU74" s="690"/>
      <c r="DV74" s="690"/>
      <c r="DW74" s="690"/>
      <c r="DX74" s="690"/>
      <c r="DY74" s="690"/>
      <c r="DZ74" s="690"/>
      <c r="EA74" s="690"/>
      <c r="EB74" s="690"/>
      <c r="EC74" s="690"/>
      <c r="ED74" s="690"/>
      <c r="EE74" s="690"/>
      <c r="EF74" s="690"/>
      <c r="EG74" s="690"/>
      <c r="EH74" s="690"/>
      <c r="EI74" s="690"/>
      <c r="EJ74" s="690"/>
      <c r="EK74" s="690"/>
      <c r="EL74" s="690"/>
      <c r="EM74" s="690"/>
      <c r="EN74" s="690"/>
      <c r="EO74" s="690"/>
      <c r="EP74" s="690"/>
      <c r="EQ74" s="690"/>
      <c r="ER74" s="690"/>
      <c r="ES74" s="690"/>
      <c r="ET74" s="690"/>
      <c r="EU74" s="690"/>
      <c r="EV74" s="690"/>
      <c r="EW74" s="690"/>
      <c r="EX74" s="690"/>
      <c r="EY74" s="690"/>
      <c r="EZ74" s="690"/>
      <c r="FA74" s="690"/>
      <c r="FB74" s="690"/>
      <c r="FC74" s="690"/>
      <c r="FD74" s="690"/>
      <c r="FE74" s="690"/>
      <c r="FF74" s="690"/>
      <c r="FG74" s="690"/>
      <c r="FH74" s="690"/>
      <c r="FI74" s="690"/>
      <c r="FJ74" s="690"/>
      <c r="FK74" s="690"/>
      <c r="FL74" s="690"/>
      <c r="FM74" s="690"/>
      <c r="FN74" s="690"/>
      <c r="FO74" s="690"/>
      <c r="FP74" s="690"/>
      <c r="FQ74" s="690"/>
      <c r="FR74" s="690"/>
      <c r="FS74" s="690"/>
      <c r="FT74" s="690"/>
      <c r="FU74" s="690"/>
      <c r="FV74" s="690"/>
      <c r="FW74" s="690"/>
      <c r="FX74" s="690"/>
      <c r="FY74" s="690"/>
      <c r="FZ74" s="690"/>
      <c r="GA74" s="690"/>
      <c r="GB74" s="690"/>
      <c r="GC74" s="690"/>
      <c r="GD74" s="690"/>
      <c r="GE74" s="690"/>
      <c r="GF74" s="690"/>
      <c r="GG74" s="690"/>
      <c r="GH74" s="690"/>
      <c r="GI74" s="690"/>
      <c r="GJ74" s="690"/>
      <c r="GK74" s="690"/>
      <c r="GL74" s="690"/>
      <c r="GM74" s="690"/>
      <c r="GN74" s="690"/>
      <c r="GO74" s="690"/>
      <c r="GP74" s="690"/>
      <c r="GQ74" s="690"/>
      <c r="GR74" s="690"/>
      <c r="GS74" s="690"/>
      <c r="GT74" s="690"/>
      <c r="GU74" s="690"/>
      <c r="GV74" s="690"/>
      <c r="GW74" s="690"/>
      <c r="GX74" s="690"/>
      <c r="GY74" s="690"/>
      <c r="GZ74" s="690"/>
      <c r="HA74" s="690"/>
      <c r="HB74" s="690"/>
      <c r="HC74" s="690"/>
      <c r="HD74" s="690"/>
      <c r="HE74" s="690"/>
      <c r="HF74" s="690"/>
      <c r="HG74" s="690"/>
      <c r="HH74" s="690"/>
      <c r="HI74" s="690"/>
      <c r="HJ74" s="690"/>
      <c r="HK74" s="690"/>
      <c r="HL74" s="690"/>
      <c r="HM74" s="690"/>
      <c r="HN74" s="690"/>
      <c r="HO74" s="690"/>
      <c r="HP74" s="690"/>
      <c r="HQ74" s="690"/>
      <c r="HR74" s="690"/>
      <c r="HS74" s="690"/>
      <c r="HT74" s="690"/>
      <c r="HU74" s="690"/>
      <c r="HV74" s="690"/>
      <c r="HW74" s="690"/>
      <c r="HX74" s="690"/>
      <c r="HY74" s="690"/>
      <c r="HZ74" s="690"/>
      <c r="IA74" s="690"/>
      <c r="IB74" s="690"/>
      <c r="IC74" s="690"/>
      <c r="ID74" s="690"/>
      <c r="IE74" s="690"/>
      <c r="IF74" s="690"/>
      <c r="IG74" s="690"/>
      <c r="IH74" s="690"/>
      <c r="II74" s="690"/>
      <c r="IJ74" s="690"/>
      <c r="IK74" s="690"/>
    </row>
    <row r="75" spans="1:245" s="697" customFormat="1" ht="15.75">
      <c r="A75" s="689"/>
      <c r="C75" s="38" t="s">
        <v>2132</v>
      </c>
      <c r="D75" s="42"/>
      <c r="E75" s="42"/>
      <c r="F75" s="42"/>
      <c r="G75" s="42"/>
      <c r="H75" s="42"/>
      <c r="I75" s="42"/>
      <c r="J75" s="42"/>
      <c r="K75" s="42"/>
      <c r="L75" s="42"/>
      <c r="M75" s="42"/>
      <c r="N75" s="42"/>
      <c r="O75" s="42"/>
      <c r="P75" s="42"/>
      <c r="Q75" s="5"/>
      <c r="R75" s="5"/>
      <c r="S75" s="691"/>
      <c r="U75" s="690"/>
      <c r="X75" s="690"/>
    </row>
    <row r="76" spans="1:245" s="697" customFormat="1" ht="25.5">
      <c r="A76" s="689"/>
      <c r="B76" s="699">
        <v>1</v>
      </c>
      <c r="C76" s="700" t="s">
        <v>182</v>
      </c>
      <c r="D76" s="700" t="s">
        <v>1</v>
      </c>
      <c r="E76" s="700" t="s">
        <v>131</v>
      </c>
      <c r="F76" s="700" t="s">
        <v>2133</v>
      </c>
      <c r="G76" s="700" t="s">
        <v>128</v>
      </c>
      <c r="H76" s="700" t="s">
        <v>70</v>
      </c>
      <c r="I76" s="700" t="s">
        <v>2134</v>
      </c>
      <c r="J76" s="700" t="s">
        <v>72</v>
      </c>
      <c r="K76" s="700" t="s">
        <v>2135</v>
      </c>
      <c r="L76" s="700" t="s">
        <v>2136</v>
      </c>
      <c r="M76" s="709" t="s">
        <v>2137</v>
      </c>
      <c r="N76" s="709" t="s">
        <v>129</v>
      </c>
      <c r="O76" s="710">
        <v>1</v>
      </c>
      <c r="R76" s="704"/>
      <c r="S76" s="690"/>
      <c r="U76" s="690"/>
      <c r="X76" s="690"/>
    </row>
    <row r="77" spans="1:245" s="697" customFormat="1" ht="15.75">
      <c r="A77" s="689"/>
      <c r="B77" s="699">
        <v>2</v>
      </c>
      <c r="C77" s="22" t="s">
        <v>134</v>
      </c>
      <c r="D77" s="22" t="s">
        <v>79</v>
      </c>
      <c r="E77" s="40">
        <v>6</v>
      </c>
      <c r="M77" s="49">
        <v>0.5</v>
      </c>
      <c r="O77" s="710">
        <v>2</v>
      </c>
      <c r="S77" s="690"/>
      <c r="U77" s="690"/>
      <c r="X77" s="690"/>
    </row>
    <row r="78" spans="1:245" s="697" customFormat="1" ht="15.75">
      <c r="A78" s="689"/>
      <c r="B78" s="699">
        <v>3</v>
      </c>
      <c r="C78" s="22" t="s">
        <v>251</v>
      </c>
      <c r="D78" s="22" t="s">
        <v>79</v>
      </c>
      <c r="M78" s="49">
        <v>5</v>
      </c>
      <c r="O78" s="710">
        <v>3</v>
      </c>
      <c r="S78" s="690"/>
      <c r="U78" s="690"/>
      <c r="X78" s="690"/>
    </row>
    <row r="79" spans="1:245" s="697" customFormat="1" ht="15.75">
      <c r="A79" s="689"/>
      <c r="B79" s="699">
        <v>4</v>
      </c>
      <c r="C79" s="22" t="s">
        <v>136</v>
      </c>
      <c r="D79" s="22" t="s">
        <v>90</v>
      </c>
      <c r="E79" s="39">
        <v>0</v>
      </c>
      <c r="O79" s="710">
        <v>4</v>
      </c>
      <c r="S79" s="690"/>
      <c r="U79" s="690"/>
      <c r="X79" s="690"/>
    </row>
    <row r="80" spans="1:245" s="697" customFormat="1" ht="15.75">
      <c r="A80" s="689"/>
      <c r="B80" s="699">
        <v>5</v>
      </c>
      <c r="C80" s="22" t="s">
        <v>152</v>
      </c>
      <c r="D80" s="22" t="s">
        <v>90</v>
      </c>
      <c r="E80" s="39">
        <v>150</v>
      </c>
      <c r="G80" s="39">
        <v>150</v>
      </c>
      <c r="O80" s="710">
        <v>5</v>
      </c>
      <c r="S80" s="690"/>
      <c r="U80" s="690"/>
      <c r="X80" s="690"/>
    </row>
    <row r="81" spans="2:25" s="697" customFormat="1" ht="15.75">
      <c r="B81" s="699">
        <v>6</v>
      </c>
      <c r="C81" s="22" t="s">
        <v>98</v>
      </c>
      <c r="D81" s="22" t="s">
        <v>90</v>
      </c>
      <c r="E81" s="39">
        <v>150</v>
      </c>
      <c r="G81" s="39">
        <v>150</v>
      </c>
      <c r="H81" s="39">
        <v>0</v>
      </c>
      <c r="I81" s="39">
        <v>150</v>
      </c>
      <c r="J81" s="39">
        <v>150</v>
      </c>
      <c r="K81" s="39">
        <v>150</v>
      </c>
      <c r="O81" s="710">
        <v>6</v>
      </c>
      <c r="S81" s="690"/>
      <c r="U81" s="690"/>
      <c r="X81" s="690"/>
    </row>
    <row r="82" spans="2:25" s="697" customFormat="1" ht="15.75">
      <c r="B82" s="699">
        <v>7</v>
      </c>
      <c r="C82" s="22" t="s">
        <v>1835</v>
      </c>
      <c r="D82" s="22" t="s">
        <v>90</v>
      </c>
      <c r="E82" s="39">
        <v>150</v>
      </c>
      <c r="G82" s="39">
        <v>0</v>
      </c>
      <c r="H82" s="39">
        <v>0</v>
      </c>
      <c r="I82" s="39">
        <v>100</v>
      </c>
      <c r="J82" s="39">
        <v>100</v>
      </c>
      <c r="K82" s="39">
        <v>100</v>
      </c>
      <c r="O82" s="710">
        <v>7</v>
      </c>
      <c r="S82" s="690"/>
      <c r="U82" s="690"/>
      <c r="X82" s="690"/>
    </row>
    <row r="83" spans="2:25" s="697" customFormat="1" ht="15.75">
      <c r="B83" s="699">
        <v>8</v>
      </c>
      <c r="C83" s="22" t="s">
        <v>2138</v>
      </c>
      <c r="D83" s="22" t="s">
        <v>90</v>
      </c>
      <c r="E83" s="39">
        <v>150</v>
      </c>
      <c r="F83" s="39">
        <v>250</v>
      </c>
      <c r="G83" s="39">
        <v>0</v>
      </c>
      <c r="H83" s="39">
        <v>0</v>
      </c>
      <c r="I83" s="39"/>
      <c r="J83" s="39">
        <v>150</v>
      </c>
      <c r="K83" s="39">
        <v>150</v>
      </c>
      <c r="O83" s="710">
        <v>8</v>
      </c>
      <c r="S83" s="690"/>
      <c r="U83" s="690"/>
      <c r="X83" s="690"/>
    </row>
    <row r="84" spans="2:25" s="697" customFormat="1" ht="15.75">
      <c r="B84" s="699">
        <v>9</v>
      </c>
      <c r="C84" s="22" t="s">
        <v>2139</v>
      </c>
      <c r="D84" s="22" t="s">
        <v>90</v>
      </c>
      <c r="E84" s="39">
        <v>200</v>
      </c>
      <c r="F84" s="39">
        <v>0</v>
      </c>
      <c r="G84" s="39">
        <v>0</v>
      </c>
      <c r="H84" s="39">
        <v>0</v>
      </c>
      <c r="M84" s="98">
        <v>1000</v>
      </c>
      <c r="O84" s="710">
        <v>9</v>
      </c>
      <c r="S84" s="690"/>
      <c r="U84" s="690"/>
      <c r="X84" s="690"/>
    </row>
    <row r="85" spans="2:25" s="697" customFormat="1" ht="15.75">
      <c r="B85" s="699">
        <v>10</v>
      </c>
      <c r="C85" s="22" t="s">
        <v>2140</v>
      </c>
      <c r="D85" s="22" t="s">
        <v>90</v>
      </c>
      <c r="E85" s="39">
        <v>150</v>
      </c>
      <c r="F85" s="39">
        <v>0</v>
      </c>
      <c r="G85" s="39">
        <v>150</v>
      </c>
      <c r="H85" s="39">
        <v>150</v>
      </c>
      <c r="N85" s="98">
        <v>100</v>
      </c>
      <c r="O85" s="710">
        <v>10</v>
      </c>
      <c r="S85" s="690"/>
      <c r="U85" s="690"/>
      <c r="X85" s="690"/>
    </row>
    <row r="86" spans="2:25" s="697" customFormat="1" ht="15.75">
      <c r="B86" s="699">
        <v>11</v>
      </c>
      <c r="C86" s="22" t="s">
        <v>2141</v>
      </c>
      <c r="D86" s="22" t="s">
        <v>90</v>
      </c>
      <c r="O86" s="710">
        <v>11</v>
      </c>
      <c r="S86" s="690"/>
      <c r="U86" s="690"/>
      <c r="X86" s="690"/>
    </row>
    <row r="87" spans="2:25" s="697" customFormat="1" ht="15.75">
      <c r="B87" s="699">
        <v>12</v>
      </c>
      <c r="C87" s="22" t="s">
        <v>179</v>
      </c>
      <c r="D87" s="22" t="s">
        <v>79</v>
      </c>
      <c r="O87" s="710">
        <v>12</v>
      </c>
      <c r="S87" s="690"/>
      <c r="U87" s="690"/>
      <c r="X87" s="690"/>
    </row>
    <row r="88" spans="2:25" s="697" customFormat="1" ht="15.75">
      <c r="B88" s="699">
        <v>13</v>
      </c>
      <c r="C88" s="22" t="s">
        <v>284</v>
      </c>
      <c r="D88" s="22" t="s">
        <v>2142</v>
      </c>
      <c r="O88" s="710">
        <v>13</v>
      </c>
      <c r="S88" s="690"/>
      <c r="U88" s="690"/>
      <c r="X88" s="690"/>
    </row>
    <row r="89" spans="2:25" s="697" customFormat="1" ht="15.75">
      <c r="B89" s="699">
        <v>14</v>
      </c>
      <c r="C89" s="22" t="s">
        <v>2143</v>
      </c>
      <c r="D89" s="22" t="s">
        <v>2144</v>
      </c>
      <c r="E89" s="40">
        <v>0.6</v>
      </c>
      <c r="O89" s="710">
        <v>14</v>
      </c>
      <c r="S89" s="690"/>
      <c r="U89" s="690"/>
      <c r="X89" s="690"/>
    </row>
    <row r="90" spans="2:25" s="697" customFormat="1" ht="15.75">
      <c r="B90" s="699">
        <v>15</v>
      </c>
      <c r="C90" s="22" t="s">
        <v>2145</v>
      </c>
      <c r="D90" s="22" t="s">
        <v>155</v>
      </c>
      <c r="K90" s="40">
        <v>9.1999999999999993</v>
      </c>
      <c r="O90" s="710">
        <v>15</v>
      </c>
      <c r="S90" s="690"/>
      <c r="U90" s="690"/>
      <c r="X90" s="690"/>
    </row>
    <row r="91" spans="2:25" s="697" customFormat="1" ht="15.75">
      <c r="B91" s="699">
        <v>16</v>
      </c>
      <c r="C91" s="22" t="s">
        <v>2146</v>
      </c>
      <c r="D91" s="22" t="s">
        <v>155</v>
      </c>
      <c r="K91" s="40">
        <v>4.5</v>
      </c>
      <c r="O91" s="710">
        <v>16</v>
      </c>
      <c r="S91" s="690"/>
      <c r="U91" s="690"/>
      <c r="X91" s="690"/>
    </row>
    <row r="92" spans="2:25" s="697" customFormat="1" ht="15.75">
      <c r="B92" s="699">
        <v>17</v>
      </c>
      <c r="C92" s="22" t="s">
        <v>2147</v>
      </c>
      <c r="D92" s="22" t="s">
        <v>155</v>
      </c>
      <c r="L92" s="40">
        <v>2</v>
      </c>
      <c r="O92" s="710">
        <v>17</v>
      </c>
      <c r="S92" s="690"/>
      <c r="U92" s="690"/>
      <c r="X92" s="690"/>
    </row>
    <row r="93" spans="2:25" s="697" customFormat="1" ht="15.75">
      <c r="B93" s="699">
        <v>18</v>
      </c>
      <c r="C93" s="22"/>
      <c r="D93" s="22"/>
      <c r="O93" s="710">
        <v>18</v>
      </c>
      <c r="S93" s="690"/>
      <c r="U93" s="690"/>
      <c r="V93" s="690"/>
      <c r="W93" s="690"/>
      <c r="X93" s="690"/>
    </row>
    <row r="94" spans="2:25" s="697" customFormat="1" ht="15.75">
      <c r="C94" s="41"/>
      <c r="T94" s="690"/>
      <c r="V94" s="690"/>
      <c r="W94" s="690"/>
      <c r="X94" s="690"/>
      <c r="Y94" s="690"/>
    </row>
    <row r="95" spans="2:25" s="697" customFormat="1" ht="15.75">
      <c r="C95" s="38" t="s">
        <v>71</v>
      </c>
      <c r="T95" s="690"/>
      <c r="V95" s="690"/>
      <c r="Y95" s="690"/>
    </row>
    <row r="96" spans="2:25" s="697" customFormat="1" ht="25.5">
      <c r="B96" s="699">
        <v>1</v>
      </c>
      <c r="C96" s="700"/>
      <c r="D96" s="700" t="s">
        <v>1</v>
      </c>
      <c r="E96" s="700" t="s">
        <v>2148</v>
      </c>
      <c r="F96" s="700" t="s">
        <v>116</v>
      </c>
      <c r="T96" s="690"/>
      <c r="V96" s="690"/>
      <c r="Y96" s="690"/>
    </row>
    <row r="97" spans="2:246" s="697" customFormat="1" ht="15">
      <c r="B97" s="699">
        <v>2</v>
      </c>
      <c r="C97" s="696"/>
      <c r="D97" s="696"/>
      <c r="E97" s="44" t="s">
        <v>115</v>
      </c>
      <c r="F97" s="44" t="s">
        <v>116</v>
      </c>
      <c r="T97" s="690"/>
      <c r="V97" s="690"/>
      <c r="Y97" s="690"/>
    </row>
    <row r="98" spans="2:246" s="697" customFormat="1" ht="15.75">
      <c r="B98" s="699">
        <v>3</v>
      </c>
      <c r="C98" s="22" t="s">
        <v>136</v>
      </c>
      <c r="D98" s="22" t="s">
        <v>90</v>
      </c>
      <c r="E98" s="39">
        <v>100</v>
      </c>
      <c r="F98" s="39">
        <v>100</v>
      </c>
      <c r="T98" s="690"/>
      <c r="V98" s="690"/>
      <c r="Y98" s="690"/>
    </row>
    <row r="99" spans="2:246" s="697" customFormat="1" ht="15.75">
      <c r="B99" s="699">
        <v>4</v>
      </c>
      <c r="C99" s="22" t="s">
        <v>98</v>
      </c>
      <c r="D99" s="22" t="s">
        <v>90</v>
      </c>
      <c r="E99" s="39">
        <v>150</v>
      </c>
      <c r="F99" s="39">
        <v>150</v>
      </c>
      <c r="T99" s="690"/>
      <c r="V99" s="690"/>
      <c r="Y99" s="690"/>
    </row>
    <row r="100" spans="2:246" s="697" customFormat="1" ht="15.75">
      <c r="B100" s="699">
        <v>5</v>
      </c>
      <c r="C100" s="22" t="s">
        <v>1835</v>
      </c>
      <c r="D100" s="22" t="s">
        <v>90</v>
      </c>
      <c r="E100" s="39">
        <v>100</v>
      </c>
      <c r="F100" s="39">
        <v>100</v>
      </c>
      <c r="T100" s="690"/>
      <c r="V100" s="690"/>
      <c r="Y100" s="690"/>
    </row>
    <row r="101" spans="2:246" s="697" customFormat="1" ht="15.75">
      <c r="B101" s="699">
        <v>6</v>
      </c>
      <c r="C101" s="22" t="s">
        <v>2138</v>
      </c>
      <c r="D101" s="22" t="s">
        <v>90</v>
      </c>
      <c r="E101" s="39">
        <v>0</v>
      </c>
      <c r="F101" s="39">
        <v>100</v>
      </c>
      <c r="T101" s="690"/>
      <c r="V101" s="690"/>
      <c r="Y101" s="690"/>
    </row>
    <row r="102" spans="2:246" s="697" customFormat="1" ht="15.75">
      <c r="B102" s="699">
        <v>7</v>
      </c>
      <c r="C102" s="22" t="s">
        <v>2140</v>
      </c>
      <c r="D102" s="22" t="s">
        <v>90</v>
      </c>
      <c r="E102" s="39">
        <v>150</v>
      </c>
      <c r="F102" s="39">
        <v>150</v>
      </c>
      <c r="T102" s="690"/>
      <c r="V102" s="690"/>
      <c r="Y102" s="690"/>
    </row>
    <row r="103" spans="2:246" s="689" customFormat="1" ht="15.75">
      <c r="B103" s="697"/>
      <c r="C103" s="697"/>
      <c r="D103" s="697"/>
      <c r="E103" s="711"/>
      <c r="F103" s="711"/>
      <c r="G103" s="711"/>
      <c r="H103" s="711"/>
      <c r="I103" s="711"/>
      <c r="J103" s="697"/>
      <c r="K103" s="697"/>
      <c r="L103" s="697"/>
      <c r="M103" s="697"/>
      <c r="N103" s="697"/>
      <c r="O103" s="697"/>
      <c r="P103" s="697"/>
      <c r="Q103" s="697"/>
      <c r="R103" s="697"/>
      <c r="S103" s="697"/>
      <c r="AG103" s="690"/>
      <c r="AH103" s="690"/>
      <c r="AI103" s="690"/>
      <c r="AJ103" s="690"/>
      <c r="AK103" s="690"/>
      <c r="AL103" s="690"/>
      <c r="AM103" s="690"/>
      <c r="AN103" s="690"/>
      <c r="AO103" s="690"/>
      <c r="AP103" s="690"/>
      <c r="AQ103" s="690"/>
      <c r="AR103" s="690"/>
      <c r="AS103" s="690"/>
      <c r="AT103" s="690"/>
      <c r="AU103" s="690"/>
      <c r="AV103" s="690"/>
      <c r="AW103" s="690"/>
      <c r="AX103" s="690"/>
      <c r="AY103" s="690"/>
      <c r="AZ103" s="690"/>
      <c r="BA103" s="690"/>
      <c r="BB103" s="690"/>
      <c r="BC103" s="690"/>
      <c r="BD103" s="690"/>
      <c r="BE103" s="690"/>
      <c r="BF103" s="690"/>
      <c r="BG103" s="690"/>
      <c r="BH103" s="690"/>
      <c r="BI103" s="690"/>
      <c r="BJ103" s="690"/>
      <c r="BK103" s="690"/>
      <c r="BL103" s="690"/>
      <c r="BM103" s="690"/>
      <c r="BN103" s="698"/>
      <c r="BO103" s="690"/>
      <c r="BP103" s="690"/>
      <c r="BQ103" s="690"/>
      <c r="BR103" s="690"/>
      <c r="BS103" s="690"/>
      <c r="BT103" s="690"/>
      <c r="BU103" s="690"/>
      <c r="BV103" s="690"/>
      <c r="BW103" s="690"/>
      <c r="BX103" s="690"/>
      <c r="BY103" s="690"/>
      <c r="BZ103" s="690"/>
      <c r="CA103" s="690"/>
      <c r="CB103" s="690"/>
      <c r="CC103" s="690"/>
      <c r="CD103" s="690"/>
      <c r="CE103" s="690"/>
      <c r="CF103" s="690"/>
      <c r="CG103" s="690"/>
      <c r="CH103" s="690"/>
      <c r="CI103" s="690"/>
      <c r="CJ103" s="690"/>
      <c r="CK103" s="690"/>
      <c r="CL103" s="690"/>
      <c r="CM103" s="690"/>
      <c r="CN103" s="690"/>
      <c r="CO103" s="690"/>
      <c r="CP103" s="690"/>
      <c r="CQ103" s="690"/>
      <c r="CR103" s="690"/>
      <c r="CS103" s="690"/>
      <c r="CT103" s="690"/>
      <c r="CU103" s="690"/>
      <c r="CV103" s="690"/>
      <c r="CW103" s="690"/>
      <c r="CX103" s="690"/>
      <c r="CY103" s="690"/>
      <c r="CZ103" s="690"/>
      <c r="DA103" s="690"/>
      <c r="DB103" s="690"/>
      <c r="DC103" s="690"/>
      <c r="DD103" s="690"/>
      <c r="DE103" s="690"/>
      <c r="DF103" s="690"/>
      <c r="DG103" s="690"/>
      <c r="DH103" s="690"/>
      <c r="DI103" s="690"/>
      <c r="DJ103" s="690"/>
      <c r="DK103" s="690"/>
      <c r="DL103" s="690"/>
      <c r="DM103" s="690"/>
      <c r="DN103" s="690"/>
      <c r="DO103" s="690"/>
      <c r="DP103" s="690"/>
      <c r="DQ103" s="690"/>
      <c r="DR103" s="690"/>
      <c r="DS103" s="690"/>
      <c r="DT103" s="690"/>
      <c r="DU103" s="690"/>
      <c r="DV103" s="690"/>
      <c r="DW103" s="690"/>
      <c r="DX103" s="690"/>
      <c r="DY103" s="690"/>
      <c r="DZ103" s="690"/>
      <c r="EA103" s="690"/>
      <c r="EB103" s="690"/>
      <c r="EC103" s="690"/>
      <c r="ED103" s="690"/>
      <c r="EE103" s="690"/>
      <c r="EF103" s="690"/>
      <c r="EG103" s="690"/>
      <c r="EH103" s="690"/>
      <c r="EI103" s="690"/>
      <c r="EJ103" s="690"/>
      <c r="EK103" s="690"/>
      <c r="EL103" s="690"/>
      <c r="EM103" s="690"/>
      <c r="EN103" s="690"/>
      <c r="EO103" s="690"/>
      <c r="EP103" s="690"/>
      <c r="EQ103" s="690"/>
      <c r="ER103" s="690"/>
      <c r="ES103" s="690"/>
      <c r="ET103" s="690"/>
      <c r="EU103" s="690"/>
      <c r="EV103" s="690"/>
      <c r="EW103" s="690"/>
      <c r="EX103" s="690"/>
      <c r="EY103" s="690"/>
      <c r="EZ103" s="690"/>
      <c r="FA103" s="690"/>
      <c r="FB103" s="690"/>
      <c r="FC103" s="690"/>
      <c r="FD103" s="690"/>
      <c r="FE103" s="690"/>
      <c r="FF103" s="690"/>
      <c r="FG103" s="690"/>
      <c r="FH103" s="690"/>
      <c r="FI103" s="690"/>
      <c r="FJ103" s="690"/>
      <c r="FK103" s="690"/>
      <c r="FL103" s="690"/>
      <c r="FM103" s="690"/>
      <c r="FN103" s="690"/>
      <c r="FO103" s="690"/>
      <c r="FP103" s="690"/>
      <c r="FQ103" s="690"/>
      <c r="FR103" s="690"/>
      <c r="FS103" s="690"/>
      <c r="FT103" s="690"/>
      <c r="FU103" s="690"/>
      <c r="FV103" s="690"/>
      <c r="FW103" s="690"/>
      <c r="FX103" s="690"/>
      <c r="FY103" s="690"/>
      <c r="FZ103" s="690"/>
      <c r="GA103" s="690"/>
      <c r="GB103" s="690"/>
      <c r="GC103" s="690"/>
      <c r="GD103" s="690"/>
      <c r="GE103" s="690"/>
      <c r="GF103" s="690"/>
      <c r="GG103" s="690"/>
      <c r="GH103" s="690"/>
      <c r="GI103" s="690"/>
      <c r="GJ103" s="690"/>
      <c r="GK103" s="690"/>
      <c r="GL103" s="690"/>
      <c r="GM103" s="690"/>
      <c r="GN103" s="690"/>
      <c r="GO103" s="690"/>
      <c r="GP103" s="690"/>
      <c r="GQ103" s="690"/>
      <c r="GR103" s="690"/>
      <c r="GS103" s="690"/>
      <c r="GT103" s="690"/>
      <c r="GU103" s="690"/>
      <c r="GV103" s="690"/>
      <c r="GW103" s="690"/>
      <c r="GX103" s="690"/>
      <c r="GY103" s="690"/>
      <c r="GZ103" s="690"/>
      <c r="HA103" s="690"/>
      <c r="HB103" s="690"/>
      <c r="HC103" s="690"/>
      <c r="HD103" s="690"/>
      <c r="HE103" s="690"/>
      <c r="HF103" s="690"/>
      <c r="HG103" s="690"/>
      <c r="HH103" s="690"/>
      <c r="HI103" s="690"/>
      <c r="HJ103" s="690"/>
      <c r="HK103" s="690"/>
      <c r="HL103" s="690"/>
      <c r="HM103" s="690"/>
      <c r="HN103" s="690"/>
      <c r="HO103" s="690"/>
      <c r="HP103" s="690"/>
      <c r="HQ103" s="690"/>
      <c r="HR103" s="690"/>
      <c r="HS103" s="690"/>
      <c r="HT103" s="690"/>
      <c r="HU103" s="690"/>
      <c r="HV103" s="690"/>
      <c r="HW103" s="690"/>
      <c r="HX103" s="690"/>
      <c r="HY103" s="690"/>
      <c r="HZ103" s="690"/>
      <c r="IA103" s="690"/>
      <c r="IB103" s="690"/>
      <c r="IC103" s="690"/>
      <c r="ID103" s="690"/>
      <c r="IE103" s="690"/>
      <c r="IF103" s="690"/>
      <c r="IG103" s="690"/>
      <c r="IH103" s="690"/>
      <c r="II103" s="690"/>
      <c r="IJ103" s="690"/>
      <c r="IK103" s="690"/>
      <c r="IL103" s="690"/>
    </row>
    <row r="104" spans="2:246" s="697" customFormat="1" ht="15.75">
      <c r="C104" s="38" t="s">
        <v>2149</v>
      </c>
      <c r="D104" s="711"/>
      <c r="E104" s="711"/>
      <c r="F104" s="711"/>
      <c r="T104" s="690"/>
      <c r="V104" s="690"/>
      <c r="Y104" s="690"/>
    </row>
    <row r="105" spans="2:246" s="697" customFormat="1">
      <c r="B105" s="699">
        <v>1</v>
      </c>
      <c r="C105" s="700"/>
      <c r="D105" s="700" t="s">
        <v>1</v>
      </c>
      <c r="E105" s="700" t="s">
        <v>2066</v>
      </c>
      <c r="F105" s="711"/>
      <c r="T105" s="690"/>
      <c r="V105" s="690"/>
      <c r="Y105" s="690"/>
    </row>
    <row r="106" spans="2:246" s="697" customFormat="1" ht="15.75">
      <c r="B106" s="699">
        <v>2</v>
      </c>
      <c r="C106" s="22" t="s">
        <v>2150</v>
      </c>
      <c r="D106" s="22" t="s">
        <v>90</v>
      </c>
      <c r="E106" s="39">
        <v>100</v>
      </c>
      <c r="F106" s="711"/>
      <c r="T106" s="690"/>
      <c r="V106" s="690"/>
      <c r="Y106" s="690"/>
    </row>
    <row r="107" spans="2:246" s="697" customFormat="1" ht="15.75">
      <c r="B107" s="699">
        <v>3</v>
      </c>
      <c r="C107" s="22" t="s">
        <v>2151</v>
      </c>
      <c r="D107" s="22" t="s">
        <v>90</v>
      </c>
      <c r="E107" s="39">
        <v>200</v>
      </c>
      <c r="F107" s="711"/>
      <c r="T107" s="690"/>
      <c r="V107" s="690"/>
      <c r="Y107" s="690"/>
    </row>
    <row r="108" spans="2:246" s="697" customFormat="1" ht="15.75">
      <c r="B108" s="699">
        <v>4</v>
      </c>
      <c r="C108" s="22" t="s">
        <v>2140</v>
      </c>
      <c r="D108" s="22" t="s">
        <v>90</v>
      </c>
      <c r="E108" s="39">
        <v>150</v>
      </c>
      <c r="F108" s="711"/>
      <c r="T108" s="690"/>
      <c r="V108" s="690"/>
      <c r="Y108" s="690"/>
    </row>
    <row r="109" spans="2:246" s="689" customFormat="1" ht="15.75">
      <c r="B109" s="697"/>
      <c r="C109" s="697"/>
      <c r="D109" s="697"/>
      <c r="E109" s="711"/>
      <c r="F109" s="711"/>
      <c r="G109" s="711"/>
      <c r="H109" s="697"/>
      <c r="I109" s="697"/>
      <c r="J109" s="697"/>
      <c r="K109" s="697"/>
      <c r="L109" s="697"/>
      <c r="M109" s="697"/>
      <c r="N109" s="697"/>
      <c r="O109" s="697"/>
      <c r="P109" s="697"/>
      <c r="Q109" s="697"/>
      <c r="R109" s="697"/>
      <c r="S109" s="697"/>
      <c r="U109" s="697"/>
      <c r="V109" s="690"/>
      <c r="Y109" s="690"/>
      <c r="AG109" s="690"/>
      <c r="AH109" s="690"/>
      <c r="AI109" s="690"/>
      <c r="AJ109" s="690"/>
      <c r="AK109" s="690"/>
      <c r="AL109" s="690"/>
      <c r="AM109" s="690"/>
      <c r="AN109" s="690"/>
      <c r="AO109" s="690"/>
      <c r="AP109" s="690"/>
      <c r="AQ109" s="690"/>
      <c r="AR109" s="690"/>
      <c r="AS109" s="690"/>
      <c r="AT109" s="690"/>
      <c r="AU109" s="690"/>
      <c r="AV109" s="690"/>
      <c r="AW109" s="690"/>
      <c r="AX109" s="690"/>
      <c r="AY109" s="690"/>
      <c r="AZ109" s="690"/>
      <c r="BA109" s="690"/>
      <c r="BB109" s="690"/>
      <c r="BC109" s="690"/>
      <c r="BD109" s="690"/>
      <c r="BE109" s="690"/>
      <c r="BF109" s="690"/>
      <c r="BG109" s="690"/>
      <c r="BH109" s="690"/>
      <c r="BI109" s="690"/>
      <c r="BJ109" s="690"/>
      <c r="BK109" s="690"/>
      <c r="BL109" s="690"/>
      <c r="BM109" s="690"/>
      <c r="BN109" s="698"/>
      <c r="BO109" s="690"/>
      <c r="BP109" s="690"/>
      <c r="BQ109" s="690"/>
      <c r="BR109" s="690"/>
      <c r="BS109" s="690"/>
      <c r="BT109" s="690"/>
      <c r="BU109" s="690"/>
      <c r="BV109" s="690"/>
      <c r="BW109" s="690"/>
      <c r="BX109" s="690"/>
      <c r="BY109" s="690"/>
      <c r="BZ109" s="690"/>
      <c r="CA109" s="690"/>
      <c r="CB109" s="690"/>
      <c r="CC109" s="690"/>
      <c r="CD109" s="690"/>
      <c r="CE109" s="690"/>
      <c r="CF109" s="690"/>
      <c r="CG109" s="690"/>
      <c r="CH109" s="690"/>
      <c r="CI109" s="690"/>
      <c r="CJ109" s="690"/>
      <c r="CK109" s="690"/>
      <c r="CL109" s="690"/>
      <c r="CM109" s="690"/>
      <c r="CN109" s="690"/>
      <c r="CO109" s="690"/>
      <c r="CP109" s="690"/>
      <c r="CQ109" s="690"/>
      <c r="CR109" s="690"/>
      <c r="CS109" s="690"/>
      <c r="CT109" s="690"/>
      <c r="CU109" s="690"/>
      <c r="CV109" s="690"/>
      <c r="CW109" s="690"/>
      <c r="CX109" s="690"/>
      <c r="CY109" s="690"/>
      <c r="CZ109" s="690"/>
      <c r="DA109" s="690"/>
      <c r="DB109" s="690"/>
      <c r="DC109" s="690"/>
      <c r="DD109" s="690"/>
      <c r="DE109" s="690"/>
      <c r="DF109" s="690"/>
      <c r="DG109" s="690"/>
      <c r="DH109" s="690"/>
      <c r="DI109" s="690"/>
      <c r="DJ109" s="690"/>
      <c r="DK109" s="690"/>
      <c r="DL109" s="690"/>
      <c r="DM109" s="690"/>
      <c r="DN109" s="690"/>
      <c r="DO109" s="690"/>
      <c r="DP109" s="690"/>
      <c r="DQ109" s="690"/>
      <c r="DR109" s="690"/>
      <c r="DS109" s="690"/>
      <c r="DT109" s="690"/>
      <c r="DU109" s="690"/>
      <c r="DV109" s="690"/>
      <c r="DW109" s="690"/>
      <c r="DX109" s="690"/>
      <c r="DY109" s="690"/>
      <c r="DZ109" s="690"/>
      <c r="EA109" s="690"/>
      <c r="EB109" s="690"/>
      <c r="EC109" s="690"/>
      <c r="ED109" s="690"/>
      <c r="EE109" s="690"/>
      <c r="EF109" s="690"/>
      <c r="EG109" s="690"/>
      <c r="EH109" s="690"/>
      <c r="EI109" s="690"/>
      <c r="EJ109" s="690"/>
      <c r="EK109" s="690"/>
      <c r="EL109" s="690"/>
      <c r="EM109" s="690"/>
      <c r="EN109" s="690"/>
      <c r="EO109" s="690"/>
      <c r="EP109" s="690"/>
      <c r="EQ109" s="690"/>
      <c r="ER109" s="690"/>
      <c r="ES109" s="690"/>
      <c r="ET109" s="690"/>
      <c r="EU109" s="690"/>
      <c r="EV109" s="690"/>
      <c r="EW109" s="690"/>
      <c r="EX109" s="690"/>
      <c r="EY109" s="690"/>
      <c r="EZ109" s="690"/>
      <c r="FA109" s="690"/>
      <c r="FB109" s="690"/>
      <c r="FC109" s="690"/>
      <c r="FD109" s="690"/>
      <c r="FE109" s="690"/>
      <c r="FF109" s="690"/>
      <c r="FG109" s="690"/>
      <c r="FH109" s="690"/>
      <c r="FI109" s="690"/>
      <c r="FJ109" s="690"/>
      <c r="FK109" s="690"/>
      <c r="FL109" s="690"/>
      <c r="FM109" s="690"/>
      <c r="FN109" s="690"/>
      <c r="FO109" s="690"/>
      <c r="FP109" s="690"/>
      <c r="FQ109" s="690"/>
      <c r="FR109" s="690"/>
      <c r="FS109" s="690"/>
      <c r="FT109" s="690"/>
      <c r="FU109" s="690"/>
      <c r="FV109" s="690"/>
      <c r="FW109" s="690"/>
      <c r="FX109" s="690"/>
      <c r="FY109" s="690"/>
      <c r="FZ109" s="690"/>
      <c r="GA109" s="690"/>
      <c r="GB109" s="690"/>
      <c r="GC109" s="690"/>
      <c r="GD109" s="690"/>
      <c r="GE109" s="690"/>
      <c r="GF109" s="690"/>
      <c r="GG109" s="690"/>
      <c r="GH109" s="690"/>
      <c r="GI109" s="690"/>
      <c r="GJ109" s="690"/>
      <c r="GK109" s="690"/>
      <c r="GL109" s="690"/>
      <c r="GM109" s="690"/>
      <c r="GN109" s="690"/>
      <c r="GO109" s="690"/>
      <c r="GP109" s="690"/>
      <c r="GQ109" s="690"/>
      <c r="GR109" s="690"/>
      <c r="GS109" s="690"/>
      <c r="GT109" s="690"/>
      <c r="GU109" s="690"/>
      <c r="GV109" s="690"/>
      <c r="GW109" s="690"/>
      <c r="GX109" s="690"/>
      <c r="GY109" s="690"/>
      <c r="GZ109" s="690"/>
      <c r="HA109" s="690"/>
      <c r="HB109" s="690"/>
      <c r="HC109" s="690"/>
      <c r="HD109" s="690"/>
      <c r="HE109" s="690"/>
      <c r="HF109" s="690"/>
      <c r="HG109" s="690"/>
      <c r="HH109" s="690"/>
      <c r="HI109" s="690"/>
      <c r="HJ109" s="690"/>
      <c r="HK109" s="690"/>
      <c r="HL109" s="690"/>
      <c r="HM109" s="690"/>
      <c r="HN109" s="690"/>
      <c r="HO109" s="690"/>
      <c r="HP109" s="690"/>
      <c r="HQ109" s="690"/>
      <c r="HR109" s="690"/>
      <c r="HS109" s="690"/>
      <c r="HT109" s="690"/>
      <c r="HU109" s="690"/>
      <c r="HV109" s="690"/>
      <c r="HW109" s="690"/>
      <c r="HX109" s="690"/>
      <c r="HY109" s="690"/>
      <c r="HZ109" s="690"/>
      <c r="IA109" s="690"/>
      <c r="IB109" s="690"/>
      <c r="IC109" s="690"/>
      <c r="ID109" s="690"/>
      <c r="IE109" s="690"/>
      <c r="IF109" s="690"/>
      <c r="IG109" s="690"/>
      <c r="IH109" s="690"/>
      <c r="II109" s="690"/>
      <c r="IJ109" s="690"/>
      <c r="IK109" s="690"/>
      <c r="IL109" s="690"/>
    </row>
    <row r="110" spans="2:246" s="697" customFormat="1" ht="15.75">
      <c r="C110" s="38" t="s">
        <v>2152</v>
      </c>
      <c r="X110" s="691"/>
      <c r="Y110" s="691"/>
    </row>
    <row r="111" spans="2:246" s="689" customFormat="1">
      <c r="B111" s="699">
        <v>1</v>
      </c>
      <c r="C111" s="700" t="s">
        <v>182</v>
      </c>
      <c r="D111" s="700" t="s">
        <v>1</v>
      </c>
      <c r="E111" s="700" t="s">
        <v>2066</v>
      </c>
      <c r="F111" s="712" t="s">
        <v>74</v>
      </c>
      <c r="G111" s="700" t="s">
        <v>74</v>
      </c>
      <c r="X111" s="690"/>
      <c r="Y111" s="690"/>
      <c r="Z111" s="690"/>
      <c r="AA111" s="690"/>
      <c r="AB111" s="690"/>
      <c r="AC111" s="690"/>
      <c r="AD111" s="690"/>
      <c r="AE111" s="690"/>
      <c r="AF111" s="690"/>
      <c r="AG111" s="690"/>
      <c r="AH111" s="690"/>
      <c r="AI111" s="690"/>
      <c r="AJ111" s="690"/>
      <c r="AK111" s="690"/>
      <c r="AL111" s="690"/>
      <c r="AM111" s="690"/>
      <c r="AN111" s="690"/>
      <c r="AO111" s="690"/>
      <c r="AP111" s="690"/>
      <c r="AQ111" s="690"/>
      <c r="AR111" s="690"/>
      <c r="AS111" s="690"/>
      <c r="AT111" s="690"/>
      <c r="AU111" s="690"/>
      <c r="AV111" s="690"/>
      <c r="AW111" s="690"/>
      <c r="AX111" s="690"/>
      <c r="AY111" s="690"/>
      <c r="AZ111" s="690"/>
      <c r="BA111" s="690"/>
      <c r="BB111" s="690"/>
      <c r="BC111" s="690"/>
      <c r="BD111" s="690"/>
      <c r="BE111" s="690"/>
      <c r="BF111" s="690"/>
      <c r="BG111" s="690"/>
      <c r="BH111" s="690"/>
      <c r="BI111" s="690"/>
      <c r="BJ111" s="690"/>
      <c r="BK111" s="690"/>
      <c r="BL111" s="690"/>
      <c r="BM111" s="690"/>
      <c r="BN111" s="690"/>
      <c r="BO111" s="690"/>
      <c r="BP111" s="690"/>
      <c r="BQ111" s="690"/>
      <c r="BR111" s="690"/>
      <c r="BS111" s="690"/>
      <c r="BT111" s="690"/>
      <c r="BU111" s="690"/>
      <c r="BV111" s="690"/>
      <c r="BW111" s="690"/>
      <c r="BX111" s="690"/>
      <c r="BY111" s="690"/>
      <c r="BZ111" s="690"/>
      <c r="CA111" s="690"/>
      <c r="CB111" s="690"/>
      <c r="CC111" s="690"/>
      <c r="CD111" s="690"/>
      <c r="CE111" s="690"/>
      <c r="CF111" s="690"/>
      <c r="CG111" s="690"/>
      <c r="CH111" s="690"/>
      <c r="CI111" s="690"/>
      <c r="CJ111" s="690"/>
      <c r="CK111" s="690"/>
      <c r="CL111" s="690"/>
      <c r="CM111" s="690"/>
      <c r="CN111" s="690"/>
      <c r="CO111" s="690"/>
      <c r="CP111" s="690"/>
      <c r="CQ111" s="690"/>
      <c r="CR111" s="690"/>
      <c r="CS111" s="690"/>
      <c r="CT111" s="690"/>
      <c r="CU111" s="690"/>
      <c r="CV111" s="690"/>
      <c r="CW111" s="690"/>
      <c r="CX111" s="690"/>
      <c r="CY111" s="690"/>
      <c r="CZ111" s="690"/>
      <c r="DA111" s="690"/>
      <c r="DB111" s="690"/>
      <c r="DC111" s="690"/>
      <c r="DD111" s="690"/>
      <c r="DE111" s="690"/>
      <c r="DF111" s="690"/>
      <c r="DG111" s="690"/>
      <c r="DH111" s="690"/>
      <c r="DI111" s="690"/>
      <c r="DJ111" s="690"/>
      <c r="DK111" s="690"/>
      <c r="DL111" s="690"/>
      <c r="DM111" s="690"/>
      <c r="DN111" s="690"/>
      <c r="DO111" s="690"/>
      <c r="DP111" s="690"/>
      <c r="DQ111" s="690"/>
      <c r="DR111" s="690"/>
      <c r="DS111" s="690"/>
      <c r="DT111" s="690"/>
      <c r="DU111" s="690"/>
      <c r="DV111" s="690"/>
      <c r="DW111" s="690"/>
      <c r="DX111" s="690"/>
      <c r="DY111" s="690"/>
      <c r="DZ111" s="690"/>
      <c r="EA111" s="690"/>
      <c r="EB111" s="690"/>
      <c r="EC111" s="690"/>
      <c r="ED111" s="690"/>
      <c r="EE111" s="690"/>
      <c r="EF111" s="690"/>
      <c r="EG111" s="690"/>
      <c r="EH111" s="690"/>
      <c r="EI111" s="690"/>
      <c r="EJ111" s="690"/>
      <c r="EK111" s="690"/>
      <c r="EL111" s="690"/>
      <c r="EM111" s="690"/>
      <c r="EN111" s="690"/>
      <c r="EO111" s="690"/>
      <c r="EP111" s="690"/>
      <c r="EQ111" s="690"/>
      <c r="ER111" s="690"/>
      <c r="ES111" s="690"/>
      <c r="ET111" s="690"/>
      <c r="EU111" s="690"/>
      <c r="EV111" s="690"/>
      <c r="EW111" s="690"/>
      <c r="EX111" s="690"/>
      <c r="EY111" s="690"/>
      <c r="EZ111" s="690"/>
      <c r="FA111" s="690"/>
      <c r="FB111" s="690"/>
      <c r="FC111" s="690"/>
      <c r="FD111" s="690"/>
      <c r="FE111" s="690"/>
      <c r="FF111" s="690"/>
      <c r="FG111" s="690"/>
      <c r="FH111" s="690"/>
      <c r="FI111" s="690"/>
      <c r="FJ111" s="690"/>
      <c r="FK111" s="690"/>
      <c r="FL111" s="690"/>
      <c r="FM111" s="690"/>
      <c r="FN111" s="690"/>
      <c r="FO111" s="690"/>
      <c r="FP111" s="690"/>
      <c r="FQ111" s="690"/>
      <c r="FR111" s="690"/>
      <c r="FS111" s="690"/>
      <c r="FT111" s="690"/>
      <c r="FU111" s="690"/>
      <c r="FV111" s="690"/>
      <c r="FW111" s="690"/>
      <c r="FX111" s="690"/>
      <c r="FY111" s="690"/>
      <c r="FZ111" s="690"/>
      <c r="GA111" s="690"/>
      <c r="GB111" s="690"/>
      <c r="GC111" s="690"/>
      <c r="GD111" s="690"/>
      <c r="GE111" s="690"/>
      <c r="GF111" s="690"/>
      <c r="GG111" s="690"/>
      <c r="GH111" s="690"/>
      <c r="GI111" s="690"/>
      <c r="GJ111" s="690"/>
      <c r="GK111" s="690"/>
      <c r="GL111" s="690"/>
      <c r="GM111" s="690"/>
      <c r="GN111" s="690"/>
      <c r="GO111" s="690"/>
      <c r="GP111" s="690"/>
      <c r="GQ111" s="690"/>
      <c r="GR111" s="690"/>
      <c r="GS111" s="690"/>
      <c r="GT111" s="690"/>
      <c r="GU111" s="690"/>
      <c r="GV111" s="690"/>
      <c r="GW111" s="690"/>
      <c r="GX111" s="690"/>
      <c r="GY111" s="690"/>
      <c r="GZ111" s="690"/>
      <c r="HA111" s="690"/>
      <c r="HB111" s="690"/>
      <c r="HC111" s="690"/>
      <c r="HD111" s="690"/>
      <c r="HE111" s="690"/>
      <c r="HF111" s="690"/>
      <c r="HG111" s="690"/>
      <c r="HH111" s="690"/>
      <c r="HI111" s="690"/>
      <c r="HJ111" s="690"/>
      <c r="HK111" s="690"/>
      <c r="HL111" s="690"/>
      <c r="HM111" s="690"/>
      <c r="HN111" s="690"/>
      <c r="HO111" s="690"/>
      <c r="HP111" s="690"/>
      <c r="HQ111" s="690"/>
      <c r="HR111" s="690"/>
      <c r="HS111" s="690"/>
      <c r="HT111" s="690"/>
      <c r="HU111" s="690"/>
      <c r="HV111" s="690"/>
      <c r="HW111" s="690"/>
      <c r="HX111" s="690"/>
      <c r="HY111" s="690"/>
      <c r="HZ111" s="690"/>
      <c r="IA111" s="690"/>
      <c r="IB111" s="690"/>
      <c r="IC111" s="690"/>
      <c r="ID111" s="690"/>
      <c r="IE111" s="690"/>
      <c r="IF111" s="690"/>
      <c r="IG111" s="690"/>
      <c r="IH111" s="690"/>
      <c r="II111" s="690"/>
      <c r="IJ111" s="690"/>
      <c r="IK111" s="690"/>
      <c r="IL111" s="690"/>
    </row>
    <row r="112" spans="2:246" s="689" customFormat="1" ht="15.75">
      <c r="B112" s="699">
        <v>2</v>
      </c>
      <c r="C112" s="22" t="s">
        <v>174</v>
      </c>
      <c r="D112" s="22" t="s">
        <v>117</v>
      </c>
      <c r="E112" s="110">
        <v>2.0999999999999999E-3</v>
      </c>
      <c r="F112" s="713" t="s">
        <v>191</v>
      </c>
      <c r="G112" s="713" t="s">
        <v>192</v>
      </c>
      <c r="W112" s="690"/>
      <c r="X112" s="690"/>
      <c r="Y112" s="690"/>
      <c r="Z112" s="690"/>
      <c r="AA112" s="690"/>
      <c r="AB112" s="690"/>
      <c r="AC112" s="690"/>
      <c r="AD112" s="690"/>
      <c r="AE112" s="690"/>
      <c r="AF112" s="690"/>
      <c r="AG112" s="690"/>
      <c r="AH112" s="690"/>
      <c r="AI112" s="690"/>
      <c r="AJ112" s="690"/>
      <c r="AK112" s="690"/>
      <c r="AL112" s="690"/>
      <c r="AM112" s="690"/>
      <c r="AN112" s="690"/>
      <c r="AO112" s="690"/>
      <c r="AP112" s="690"/>
      <c r="AQ112" s="690"/>
      <c r="AR112" s="690"/>
      <c r="AS112" s="690"/>
      <c r="AT112" s="690"/>
      <c r="AU112" s="690"/>
      <c r="AV112" s="690"/>
      <c r="AW112" s="690"/>
      <c r="AX112" s="690"/>
      <c r="AY112" s="690"/>
      <c r="AZ112" s="690"/>
      <c r="BA112" s="690"/>
      <c r="BB112" s="690"/>
      <c r="BC112" s="690"/>
      <c r="BD112" s="690"/>
      <c r="BE112" s="690"/>
      <c r="BF112" s="690"/>
      <c r="BG112" s="690"/>
      <c r="BH112" s="690"/>
      <c r="BI112" s="690"/>
      <c r="BJ112" s="690"/>
      <c r="BK112" s="690"/>
      <c r="BL112" s="690"/>
      <c r="BM112" s="690"/>
      <c r="BN112" s="690"/>
      <c r="BO112" s="690"/>
      <c r="BP112" s="690"/>
      <c r="BQ112" s="690"/>
      <c r="BR112" s="690"/>
      <c r="BS112" s="690"/>
      <c r="BT112" s="690"/>
      <c r="BU112" s="690"/>
      <c r="BV112" s="690"/>
      <c r="BW112" s="690"/>
      <c r="BX112" s="690"/>
      <c r="BY112" s="690"/>
      <c r="BZ112" s="690"/>
      <c r="CA112" s="690"/>
      <c r="CB112" s="690"/>
      <c r="CC112" s="690"/>
      <c r="CD112" s="690"/>
      <c r="CE112" s="690"/>
      <c r="CF112" s="690"/>
      <c r="CG112" s="690"/>
      <c r="CH112" s="690"/>
      <c r="CI112" s="690"/>
      <c r="CJ112" s="690"/>
      <c r="CK112" s="690"/>
      <c r="CL112" s="690"/>
      <c r="CM112" s="690"/>
      <c r="CN112" s="690"/>
      <c r="CO112" s="690"/>
      <c r="CP112" s="690"/>
      <c r="CQ112" s="690"/>
      <c r="CR112" s="690"/>
      <c r="CS112" s="690"/>
      <c r="CT112" s="690"/>
      <c r="CU112" s="690"/>
      <c r="CV112" s="690"/>
      <c r="CW112" s="690"/>
      <c r="CX112" s="690"/>
      <c r="CY112" s="690"/>
      <c r="CZ112" s="690"/>
      <c r="DA112" s="690"/>
      <c r="DB112" s="690"/>
      <c r="DC112" s="690"/>
      <c r="DD112" s="690"/>
      <c r="DE112" s="690"/>
      <c r="DF112" s="690"/>
      <c r="DG112" s="690"/>
      <c r="DH112" s="690"/>
      <c r="DI112" s="690"/>
      <c r="DJ112" s="690"/>
      <c r="DK112" s="690"/>
      <c r="DL112" s="690"/>
      <c r="DM112" s="690"/>
      <c r="DN112" s="690"/>
      <c r="DO112" s="690"/>
      <c r="DP112" s="690"/>
      <c r="DQ112" s="690"/>
      <c r="DR112" s="690"/>
      <c r="DS112" s="690"/>
      <c r="DT112" s="690"/>
      <c r="DU112" s="690"/>
      <c r="DV112" s="690"/>
      <c r="DW112" s="690"/>
      <c r="DX112" s="690"/>
      <c r="DY112" s="690"/>
      <c r="DZ112" s="690"/>
      <c r="EA112" s="690"/>
      <c r="EB112" s="690"/>
      <c r="EC112" s="690"/>
      <c r="ED112" s="690"/>
      <c r="EE112" s="690"/>
      <c r="EF112" s="690"/>
      <c r="EG112" s="690"/>
      <c r="EH112" s="690"/>
      <c r="EI112" s="690"/>
      <c r="EJ112" s="690"/>
      <c r="EK112" s="690"/>
      <c r="EL112" s="690"/>
      <c r="EM112" s="690"/>
      <c r="EN112" s="690"/>
      <c r="EO112" s="690"/>
      <c r="EP112" s="690"/>
      <c r="EQ112" s="690"/>
      <c r="ER112" s="690"/>
      <c r="ES112" s="690"/>
      <c r="ET112" s="690"/>
      <c r="EU112" s="690"/>
      <c r="EV112" s="690"/>
      <c r="EW112" s="690"/>
      <c r="EX112" s="690"/>
      <c r="EY112" s="690"/>
      <c r="EZ112" s="690"/>
      <c r="FA112" s="690"/>
      <c r="FB112" s="690"/>
      <c r="FC112" s="690"/>
      <c r="FD112" s="690"/>
      <c r="FE112" s="690"/>
      <c r="FF112" s="690"/>
      <c r="FG112" s="690"/>
      <c r="FH112" s="690"/>
      <c r="FI112" s="690"/>
      <c r="FJ112" s="690"/>
      <c r="FK112" s="690"/>
      <c r="FL112" s="690"/>
      <c r="FM112" s="690"/>
      <c r="FN112" s="690"/>
      <c r="FO112" s="690"/>
      <c r="FP112" s="690"/>
      <c r="FQ112" s="690"/>
      <c r="FR112" s="690"/>
      <c r="FS112" s="690"/>
      <c r="FT112" s="690"/>
      <c r="FU112" s="690"/>
      <c r="FV112" s="690"/>
      <c r="FW112" s="690"/>
      <c r="FX112" s="690"/>
      <c r="FY112" s="690"/>
      <c r="FZ112" s="690"/>
      <c r="GA112" s="690"/>
      <c r="GB112" s="690"/>
      <c r="GC112" s="690"/>
      <c r="GD112" s="690"/>
      <c r="GE112" s="690"/>
      <c r="GF112" s="690"/>
      <c r="GG112" s="690"/>
      <c r="GH112" s="690"/>
      <c r="GI112" s="690"/>
      <c r="GJ112" s="690"/>
      <c r="GK112" s="690"/>
      <c r="GL112" s="690"/>
      <c r="GM112" s="690"/>
      <c r="GN112" s="690"/>
      <c r="GO112" s="690"/>
      <c r="GP112" s="690"/>
      <c r="GQ112" s="690"/>
      <c r="GR112" s="690"/>
      <c r="GS112" s="690"/>
      <c r="GT112" s="690"/>
      <c r="GU112" s="690"/>
      <c r="GV112" s="690"/>
      <c r="GW112" s="690"/>
      <c r="GX112" s="690"/>
      <c r="GY112" s="690"/>
      <c r="GZ112" s="690"/>
      <c r="HA112" s="690"/>
      <c r="HB112" s="690"/>
      <c r="HC112" s="690"/>
      <c r="HD112" s="690"/>
      <c r="HE112" s="690"/>
      <c r="HF112" s="690"/>
      <c r="HG112" s="690"/>
      <c r="HH112" s="690"/>
      <c r="HI112" s="690"/>
      <c r="HJ112" s="690"/>
      <c r="HK112" s="690"/>
      <c r="HL112" s="690"/>
      <c r="HM112" s="690"/>
      <c r="HN112" s="690"/>
      <c r="HO112" s="690"/>
      <c r="HP112" s="690"/>
      <c r="HQ112" s="690"/>
      <c r="HR112" s="690"/>
      <c r="HS112" s="690"/>
      <c r="HT112" s="690"/>
      <c r="HU112" s="690"/>
      <c r="HV112" s="690"/>
      <c r="HW112" s="690"/>
      <c r="HX112" s="690"/>
      <c r="HY112" s="690"/>
      <c r="HZ112" s="690"/>
      <c r="IA112" s="690"/>
      <c r="IB112" s="690"/>
      <c r="IC112" s="690"/>
      <c r="ID112" s="690"/>
      <c r="IE112" s="690"/>
      <c r="IF112" s="690"/>
      <c r="IG112" s="690"/>
      <c r="IH112" s="690"/>
      <c r="II112" s="690"/>
      <c r="IJ112" s="690"/>
      <c r="IK112" s="690"/>
      <c r="IL112" s="690"/>
    </row>
    <row r="113" spans="1:246" s="689" customFormat="1" ht="15.75">
      <c r="B113" s="699">
        <v>3</v>
      </c>
      <c r="C113" s="22" t="s">
        <v>2153</v>
      </c>
      <c r="D113" s="22" t="s">
        <v>79</v>
      </c>
      <c r="E113" s="45"/>
      <c r="F113" s="45">
        <v>0.5</v>
      </c>
      <c r="G113" s="45">
        <v>0.3</v>
      </c>
      <c r="U113" s="714" t="s">
        <v>2154</v>
      </c>
      <c r="W113" s="690"/>
      <c r="X113" s="690"/>
      <c r="Y113" s="690"/>
      <c r="Z113" s="690"/>
      <c r="AA113" s="690"/>
      <c r="AB113" s="690"/>
      <c r="AC113" s="690"/>
      <c r="AD113" s="690"/>
      <c r="AE113" s="690"/>
      <c r="AF113" s="690"/>
      <c r="AG113" s="690"/>
      <c r="AH113" s="690"/>
      <c r="AI113" s="690"/>
      <c r="AJ113" s="690"/>
      <c r="AK113" s="690"/>
      <c r="AL113" s="690"/>
      <c r="AM113" s="690"/>
      <c r="AN113" s="690"/>
      <c r="AO113" s="690"/>
      <c r="AP113" s="690"/>
      <c r="AQ113" s="690"/>
      <c r="AR113" s="690"/>
      <c r="AS113" s="690"/>
      <c r="AT113" s="690"/>
      <c r="AU113" s="690"/>
      <c r="AV113" s="690"/>
      <c r="AW113" s="690"/>
      <c r="AX113" s="690"/>
      <c r="AY113" s="690"/>
      <c r="AZ113" s="690"/>
      <c r="BA113" s="690"/>
      <c r="BB113" s="690"/>
      <c r="BC113" s="690"/>
      <c r="BD113" s="690"/>
      <c r="BE113" s="690"/>
      <c r="BF113" s="690"/>
      <c r="BG113" s="690"/>
      <c r="BH113" s="690"/>
      <c r="BI113" s="690"/>
      <c r="BJ113" s="690"/>
      <c r="BK113" s="690"/>
      <c r="BL113" s="690"/>
      <c r="BM113" s="690"/>
      <c r="BN113" s="690"/>
      <c r="BO113" s="690"/>
      <c r="BP113" s="690"/>
      <c r="BQ113" s="690"/>
      <c r="BR113" s="690"/>
      <c r="BS113" s="690"/>
      <c r="BT113" s="690"/>
      <c r="BU113" s="690"/>
      <c r="BV113" s="690"/>
      <c r="BW113" s="690"/>
      <c r="BX113" s="690"/>
      <c r="BY113" s="690"/>
      <c r="BZ113" s="690"/>
      <c r="CA113" s="690"/>
      <c r="CB113" s="690"/>
      <c r="CC113" s="690"/>
      <c r="CD113" s="690"/>
      <c r="CE113" s="690"/>
      <c r="CF113" s="690"/>
      <c r="CG113" s="690"/>
      <c r="CH113" s="690"/>
      <c r="CI113" s="690"/>
      <c r="CJ113" s="690"/>
      <c r="CK113" s="690"/>
      <c r="CL113" s="690"/>
      <c r="CM113" s="690"/>
      <c r="CN113" s="690"/>
      <c r="CO113" s="690"/>
      <c r="CP113" s="690"/>
      <c r="CQ113" s="690"/>
      <c r="CR113" s="690"/>
      <c r="CS113" s="690"/>
      <c r="CT113" s="690"/>
      <c r="CU113" s="690"/>
      <c r="CV113" s="690"/>
      <c r="CW113" s="690"/>
      <c r="CX113" s="690"/>
      <c r="CY113" s="690"/>
      <c r="CZ113" s="690"/>
      <c r="DA113" s="690"/>
      <c r="DB113" s="690"/>
      <c r="DC113" s="690"/>
      <c r="DD113" s="690"/>
      <c r="DE113" s="690"/>
      <c r="DF113" s="690"/>
      <c r="DG113" s="690"/>
      <c r="DH113" s="690"/>
      <c r="DI113" s="690"/>
      <c r="DJ113" s="690"/>
      <c r="DK113" s="690"/>
      <c r="DL113" s="690"/>
      <c r="DM113" s="690"/>
      <c r="DN113" s="690"/>
      <c r="DO113" s="690"/>
      <c r="DP113" s="690"/>
      <c r="DQ113" s="690"/>
      <c r="DR113" s="690"/>
      <c r="DS113" s="690"/>
      <c r="DT113" s="690"/>
      <c r="DU113" s="690"/>
      <c r="DV113" s="690"/>
      <c r="DW113" s="690"/>
      <c r="DX113" s="690"/>
      <c r="DY113" s="690"/>
      <c r="DZ113" s="690"/>
      <c r="EA113" s="690"/>
      <c r="EB113" s="690"/>
      <c r="EC113" s="690"/>
      <c r="ED113" s="690"/>
      <c r="EE113" s="690"/>
      <c r="EF113" s="690"/>
      <c r="EG113" s="690"/>
      <c r="EH113" s="690"/>
      <c r="EI113" s="690"/>
      <c r="EJ113" s="690"/>
      <c r="EK113" s="690"/>
      <c r="EL113" s="690"/>
      <c r="EM113" s="690"/>
      <c r="EN113" s="690"/>
      <c r="EO113" s="690"/>
      <c r="EP113" s="690"/>
      <c r="EQ113" s="690"/>
      <c r="ER113" s="690"/>
      <c r="ES113" s="690"/>
      <c r="ET113" s="690"/>
      <c r="EU113" s="690"/>
      <c r="EV113" s="690"/>
      <c r="EW113" s="690"/>
      <c r="EX113" s="690"/>
      <c r="EY113" s="690"/>
      <c r="EZ113" s="690"/>
      <c r="FA113" s="690"/>
      <c r="FB113" s="690"/>
      <c r="FC113" s="690"/>
      <c r="FD113" s="690"/>
      <c r="FE113" s="690"/>
      <c r="FF113" s="690"/>
      <c r="FG113" s="690"/>
      <c r="FH113" s="690"/>
      <c r="FI113" s="690"/>
      <c r="FJ113" s="690"/>
      <c r="FK113" s="690"/>
      <c r="FL113" s="690"/>
      <c r="FM113" s="690"/>
      <c r="FN113" s="690"/>
      <c r="FO113" s="690"/>
      <c r="FP113" s="690"/>
      <c r="FQ113" s="690"/>
      <c r="FR113" s="690"/>
      <c r="FS113" s="690"/>
      <c r="FT113" s="690"/>
      <c r="FU113" s="690"/>
      <c r="FV113" s="690"/>
      <c r="FW113" s="690"/>
      <c r="FX113" s="690"/>
      <c r="FY113" s="690"/>
      <c r="FZ113" s="690"/>
      <c r="GA113" s="690"/>
      <c r="GB113" s="690"/>
      <c r="GC113" s="690"/>
      <c r="GD113" s="690"/>
      <c r="GE113" s="690"/>
      <c r="GF113" s="690"/>
      <c r="GG113" s="690"/>
      <c r="GH113" s="690"/>
      <c r="GI113" s="690"/>
      <c r="GJ113" s="690"/>
      <c r="GK113" s="690"/>
      <c r="GL113" s="690"/>
      <c r="GM113" s="690"/>
      <c r="GN113" s="690"/>
      <c r="GO113" s="690"/>
      <c r="GP113" s="690"/>
      <c r="GQ113" s="690"/>
      <c r="GR113" s="690"/>
      <c r="GS113" s="690"/>
      <c r="GT113" s="690"/>
      <c r="GU113" s="690"/>
      <c r="GV113" s="690"/>
      <c r="GW113" s="690"/>
      <c r="GX113" s="690"/>
      <c r="GY113" s="690"/>
      <c r="GZ113" s="690"/>
      <c r="HA113" s="690"/>
      <c r="HB113" s="690"/>
      <c r="HC113" s="690"/>
      <c r="HD113" s="690"/>
      <c r="HE113" s="690"/>
      <c r="HF113" s="690"/>
      <c r="HG113" s="690"/>
      <c r="HH113" s="690"/>
      <c r="HI113" s="690"/>
      <c r="HJ113" s="690"/>
      <c r="HK113" s="690"/>
      <c r="HL113" s="690"/>
      <c r="HM113" s="690"/>
      <c r="HN113" s="690"/>
      <c r="HO113" s="690"/>
      <c r="HP113" s="690"/>
      <c r="HQ113" s="690"/>
      <c r="HR113" s="690"/>
      <c r="HS113" s="690"/>
      <c r="HT113" s="690"/>
      <c r="HU113" s="690"/>
      <c r="HV113" s="690"/>
      <c r="HW113" s="690"/>
      <c r="HX113" s="690"/>
      <c r="HY113" s="690"/>
      <c r="HZ113" s="690"/>
      <c r="IA113" s="690"/>
      <c r="IB113" s="690"/>
      <c r="IC113" s="690"/>
      <c r="ID113" s="690"/>
      <c r="IE113" s="690"/>
      <c r="IF113" s="690"/>
      <c r="IG113" s="690"/>
      <c r="IH113" s="690"/>
      <c r="II113" s="690"/>
      <c r="IJ113" s="690"/>
      <c r="IK113" s="690"/>
      <c r="IL113" s="690"/>
    </row>
    <row r="114" spans="1:246" s="689" customFormat="1" ht="15.75">
      <c r="B114" s="699">
        <v>4</v>
      </c>
      <c r="C114" s="22" t="s">
        <v>2155</v>
      </c>
      <c r="D114" s="22" t="s">
        <v>181</v>
      </c>
      <c r="E114" s="45">
        <v>1.2</v>
      </c>
      <c r="W114" s="690"/>
      <c r="X114" s="690"/>
      <c r="Y114" s="690"/>
      <c r="Z114" s="690"/>
      <c r="AA114" s="690"/>
      <c r="AB114" s="690"/>
      <c r="AC114" s="690"/>
      <c r="AD114" s="690"/>
      <c r="AE114" s="690"/>
      <c r="AF114" s="690"/>
      <c r="AG114" s="690"/>
      <c r="AH114" s="690"/>
      <c r="AI114" s="690"/>
      <c r="AJ114" s="690"/>
      <c r="AK114" s="690"/>
      <c r="AL114" s="690"/>
      <c r="AM114" s="690"/>
      <c r="AN114" s="690"/>
      <c r="AO114" s="690"/>
      <c r="AP114" s="690"/>
      <c r="AQ114" s="690"/>
      <c r="AR114" s="690"/>
      <c r="AS114" s="690"/>
      <c r="AT114" s="690"/>
      <c r="AU114" s="690"/>
      <c r="AV114" s="690"/>
      <c r="AW114" s="690"/>
      <c r="AX114" s="690"/>
      <c r="AY114" s="690"/>
      <c r="AZ114" s="690"/>
      <c r="BA114" s="690"/>
      <c r="BB114" s="690"/>
      <c r="BC114" s="690"/>
      <c r="BD114" s="690"/>
      <c r="BE114" s="690"/>
      <c r="BF114" s="690"/>
      <c r="BG114" s="690"/>
      <c r="BH114" s="690"/>
      <c r="BI114" s="690"/>
      <c r="BJ114" s="690"/>
      <c r="BK114" s="690"/>
      <c r="BL114" s="690"/>
      <c r="BM114" s="690"/>
      <c r="BN114" s="690"/>
      <c r="BO114" s="690"/>
      <c r="BP114" s="690"/>
      <c r="BQ114" s="690"/>
      <c r="BR114" s="690"/>
      <c r="BS114" s="690"/>
      <c r="BT114" s="690"/>
      <c r="BU114" s="690"/>
      <c r="BV114" s="690"/>
      <c r="BW114" s="690"/>
      <c r="BX114" s="690"/>
      <c r="BY114" s="690"/>
      <c r="BZ114" s="690"/>
      <c r="CA114" s="690"/>
      <c r="CB114" s="690"/>
      <c r="CC114" s="690"/>
      <c r="CD114" s="690"/>
      <c r="CE114" s="690"/>
      <c r="CF114" s="690"/>
      <c r="CG114" s="690"/>
      <c r="CH114" s="690"/>
      <c r="CI114" s="690"/>
      <c r="CJ114" s="690"/>
      <c r="CK114" s="690"/>
      <c r="CL114" s="690"/>
      <c r="CM114" s="690"/>
      <c r="CN114" s="690"/>
      <c r="CO114" s="690"/>
      <c r="CP114" s="690"/>
      <c r="CQ114" s="690"/>
      <c r="CR114" s="690"/>
      <c r="CS114" s="690"/>
      <c r="CT114" s="690"/>
      <c r="CU114" s="690"/>
      <c r="CV114" s="690"/>
      <c r="CW114" s="690"/>
      <c r="CX114" s="690"/>
      <c r="CY114" s="690"/>
      <c r="CZ114" s="690"/>
      <c r="DA114" s="690"/>
      <c r="DB114" s="690"/>
      <c r="DC114" s="690"/>
      <c r="DD114" s="690"/>
      <c r="DE114" s="690"/>
      <c r="DF114" s="690"/>
      <c r="DG114" s="690"/>
      <c r="DH114" s="690"/>
      <c r="DI114" s="690"/>
      <c r="DJ114" s="690"/>
      <c r="DK114" s="690"/>
      <c r="DL114" s="690"/>
      <c r="DM114" s="690"/>
      <c r="DN114" s="690"/>
      <c r="DO114" s="690"/>
      <c r="DP114" s="690"/>
      <c r="DQ114" s="690"/>
      <c r="DR114" s="690"/>
      <c r="DS114" s="690"/>
      <c r="DT114" s="690"/>
      <c r="DU114" s="690"/>
      <c r="DV114" s="690"/>
      <c r="DW114" s="690"/>
      <c r="DX114" s="690"/>
      <c r="DY114" s="690"/>
      <c r="DZ114" s="690"/>
      <c r="EA114" s="690"/>
      <c r="EB114" s="690"/>
      <c r="EC114" s="690"/>
      <c r="ED114" s="690"/>
      <c r="EE114" s="690"/>
      <c r="EF114" s="690"/>
      <c r="EG114" s="690"/>
      <c r="EH114" s="690"/>
      <c r="EI114" s="690"/>
      <c r="EJ114" s="690"/>
      <c r="EK114" s="690"/>
      <c r="EL114" s="690"/>
      <c r="EM114" s="690"/>
      <c r="EN114" s="690"/>
      <c r="EO114" s="690"/>
      <c r="EP114" s="690"/>
      <c r="EQ114" s="690"/>
      <c r="ER114" s="690"/>
      <c r="ES114" s="690"/>
      <c r="ET114" s="690"/>
      <c r="EU114" s="690"/>
      <c r="EV114" s="690"/>
      <c r="EW114" s="690"/>
      <c r="EX114" s="690"/>
      <c r="EY114" s="690"/>
      <c r="EZ114" s="690"/>
      <c r="FA114" s="690"/>
      <c r="FB114" s="690"/>
      <c r="FC114" s="690"/>
      <c r="FD114" s="690"/>
      <c r="FE114" s="690"/>
      <c r="FF114" s="690"/>
      <c r="FG114" s="690"/>
      <c r="FH114" s="690"/>
      <c r="FI114" s="690"/>
      <c r="FJ114" s="690"/>
      <c r="FK114" s="690"/>
      <c r="FL114" s="690"/>
      <c r="FM114" s="690"/>
      <c r="FN114" s="690"/>
      <c r="FO114" s="690"/>
      <c r="FP114" s="690"/>
      <c r="FQ114" s="690"/>
      <c r="FR114" s="690"/>
      <c r="FS114" s="690"/>
      <c r="FT114" s="690"/>
      <c r="FU114" s="690"/>
      <c r="FV114" s="690"/>
      <c r="FW114" s="690"/>
      <c r="FX114" s="690"/>
      <c r="FY114" s="690"/>
      <c r="FZ114" s="690"/>
      <c r="GA114" s="690"/>
      <c r="GB114" s="690"/>
      <c r="GC114" s="690"/>
      <c r="GD114" s="690"/>
      <c r="GE114" s="690"/>
      <c r="GF114" s="690"/>
      <c r="GG114" s="690"/>
      <c r="GH114" s="690"/>
      <c r="GI114" s="690"/>
      <c r="GJ114" s="690"/>
      <c r="GK114" s="690"/>
      <c r="GL114" s="690"/>
      <c r="GM114" s="690"/>
      <c r="GN114" s="690"/>
      <c r="GO114" s="690"/>
      <c r="GP114" s="690"/>
      <c r="GQ114" s="690"/>
      <c r="GR114" s="690"/>
      <c r="GS114" s="690"/>
      <c r="GT114" s="690"/>
      <c r="GU114" s="690"/>
      <c r="GV114" s="690"/>
      <c r="GW114" s="690"/>
      <c r="GX114" s="690"/>
      <c r="GY114" s="690"/>
      <c r="GZ114" s="690"/>
      <c r="HA114" s="690"/>
      <c r="HB114" s="690"/>
      <c r="HC114" s="690"/>
      <c r="HD114" s="690"/>
      <c r="HE114" s="690"/>
      <c r="HF114" s="690"/>
      <c r="HG114" s="690"/>
      <c r="HH114" s="690"/>
      <c r="HI114" s="690"/>
      <c r="HJ114" s="690"/>
      <c r="HK114" s="690"/>
      <c r="HL114" s="690"/>
      <c r="HM114" s="690"/>
      <c r="HN114" s="690"/>
      <c r="HO114" s="690"/>
      <c r="HP114" s="690"/>
      <c r="HQ114" s="690"/>
      <c r="HR114" s="690"/>
      <c r="HS114" s="690"/>
      <c r="HT114" s="690"/>
      <c r="HU114" s="690"/>
      <c r="HV114" s="690"/>
      <c r="HW114" s="690"/>
      <c r="HX114" s="690"/>
      <c r="HY114" s="690"/>
      <c r="HZ114" s="690"/>
      <c r="IA114" s="690"/>
      <c r="IB114" s="690"/>
      <c r="IC114" s="690"/>
      <c r="ID114" s="690"/>
      <c r="IE114" s="690"/>
      <c r="IF114" s="690"/>
      <c r="IG114" s="690"/>
      <c r="IH114" s="690"/>
      <c r="II114" s="690"/>
      <c r="IJ114" s="690"/>
      <c r="IK114" s="690"/>
      <c r="IL114" s="690"/>
    </row>
    <row r="115" spans="1:246" s="689" customFormat="1" ht="15.75">
      <c r="B115" s="699">
        <v>5</v>
      </c>
      <c r="C115" s="22" t="s">
        <v>140</v>
      </c>
      <c r="D115" s="22" t="s">
        <v>90</v>
      </c>
      <c r="E115" s="39">
        <v>150</v>
      </c>
      <c r="T115" s="41"/>
      <c r="W115" s="690"/>
      <c r="X115" s="690"/>
      <c r="Y115" s="690"/>
      <c r="Z115" s="690"/>
      <c r="AA115" s="690"/>
      <c r="AB115" s="690"/>
      <c r="AC115" s="690"/>
      <c r="AD115" s="690"/>
      <c r="AE115" s="690"/>
      <c r="AF115" s="690"/>
      <c r="AG115" s="690"/>
      <c r="AH115" s="690"/>
      <c r="AI115" s="690"/>
      <c r="AJ115" s="690"/>
      <c r="AK115" s="690"/>
      <c r="AL115" s="690"/>
      <c r="AM115" s="690"/>
      <c r="AN115" s="690"/>
      <c r="AO115" s="690"/>
      <c r="AP115" s="690"/>
      <c r="AQ115" s="690"/>
      <c r="AR115" s="690"/>
      <c r="AS115" s="690"/>
      <c r="AT115" s="690"/>
      <c r="AU115" s="690"/>
      <c r="AV115" s="690"/>
      <c r="AW115" s="690"/>
      <c r="AX115" s="690"/>
      <c r="AY115" s="690"/>
      <c r="AZ115" s="690"/>
      <c r="BA115" s="690"/>
      <c r="BB115" s="690"/>
      <c r="BC115" s="690"/>
      <c r="BD115" s="690"/>
      <c r="BE115" s="690"/>
      <c r="BF115" s="690"/>
      <c r="BG115" s="690"/>
      <c r="BH115" s="690"/>
      <c r="BI115" s="690"/>
      <c r="BJ115" s="690"/>
      <c r="BK115" s="690"/>
      <c r="BL115" s="690"/>
      <c r="BM115" s="690"/>
      <c r="BN115" s="690"/>
      <c r="BO115" s="690"/>
      <c r="BP115" s="690"/>
      <c r="BQ115" s="690"/>
      <c r="BR115" s="690"/>
      <c r="BS115" s="690"/>
      <c r="BT115" s="690"/>
      <c r="BU115" s="690"/>
      <c r="BV115" s="690"/>
      <c r="BW115" s="690"/>
      <c r="BX115" s="690"/>
      <c r="BY115" s="690"/>
      <c r="BZ115" s="690"/>
      <c r="CA115" s="690"/>
      <c r="CB115" s="690"/>
      <c r="CC115" s="690"/>
      <c r="CD115" s="690"/>
      <c r="CE115" s="690"/>
      <c r="CF115" s="690"/>
      <c r="CG115" s="690"/>
      <c r="CH115" s="690"/>
      <c r="CI115" s="690"/>
      <c r="CJ115" s="690"/>
      <c r="CK115" s="690"/>
      <c r="CL115" s="690"/>
      <c r="CM115" s="690"/>
      <c r="CN115" s="690"/>
      <c r="CO115" s="690"/>
      <c r="CP115" s="690"/>
      <c r="CQ115" s="690"/>
      <c r="CR115" s="690"/>
      <c r="CS115" s="690"/>
      <c r="CT115" s="690"/>
      <c r="CU115" s="690"/>
      <c r="CV115" s="690"/>
      <c r="CW115" s="690"/>
      <c r="CX115" s="690"/>
      <c r="CY115" s="690"/>
      <c r="CZ115" s="690"/>
      <c r="DA115" s="690"/>
      <c r="DB115" s="690"/>
      <c r="DC115" s="690"/>
      <c r="DD115" s="690"/>
      <c r="DE115" s="690"/>
      <c r="DF115" s="690"/>
      <c r="DG115" s="690"/>
      <c r="DH115" s="690"/>
      <c r="DI115" s="690"/>
      <c r="DJ115" s="690"/>
      <c r="DK115" s="690"/>
      <c r="DL115" s="690"/>
      <c r="DM115" s="690"/>
      <c r="DN115" s="690"/>
      <c r="DO115" s="690"/>
      <c r="DP115" s="690"/>
      <c r="DQ115" s="690"/>
      <c r="DR115" s="690"/>
      <c r="DS115" s="690"/>
      <c r="DT115" s="690"/>
      <c r="DU115" s="690"/>
      <c r="DV115" s="690"/>
      <c r="DW115" s="690"/>
      <c r="DX115" s="690"/>
      <c r="DY115" s="690"/>
      <c r="DZ115" s="690"/>
      <c r="EA115" s="690"/>
      <c r="EB115" s="690"/>
      <c r="EC115" s="690"/>
      <c r="ED115" s="690"/>
      <c r="EE115" s="690"/>
      <c r="EF115" s="690"/>
      <c r="EG115" s="690"/>
      <c r="EH115" s="690"/>
      <c r="EI115" s="690"/>
      <c r="EJ115" s="690"/>
      <c r="EK115" s="690"/>
      <c r="EL115" s="690"/>
      <c r="EM115" s="690"/>
      <c r="EN115" s="690"/>
      <c r="EO115" s="690"/>
      <c r="EP115" s="690"/>
      <c r="EQ115" s="690"/>
      <c r="ER115" s="690"/>
      <c r="ES115" s="690"/>
      <c r="ET115" s="690"/>
      <c r="EU115" s="690"/>
      <c r="EV115" s="690"/>
      <c r="EW115" s="690"/>
      <c r="EX115" s="690"/>
      <c r="EY115" s="690"/>
      <c r="EZ115" s="690"/>
      <c r="FA115" s="690"/>
      <c r="FB115" s="690"/>
      <c r="FC115" s="690"/>
      <c r="FD115" s="690"/>
      <c r="FE115" s="690"/>
      <c r="FF115" s="690"/>
      <c r="FG115" s="690"/>
      <c r="FH115" s="690"/>
      <c r="FI115" s="690"/>
      <c r="FJ115" s="690"/>
      <c r="FK115" s="690"/>
      <c r="FL115" s="690"/>
      <c r="FM115" s="690"/>
      <c r="FN115" s="690"/>
      <c r="FO115" s="690"/>
      <c r="FP115" s="690"/>
      <c r="FQ115" s="690"/>
      <c r="FR115" s="690"/>
      <c r="FS115" s="690"/>
      <c r="FT115" s="690"/>
      <c r="FU115" s="690"/>
      <c r="FV115" s="690"/>
      <c r="FW115" s="690"/>
      <c r="FX115" s="690"/>
      <c r="FY115" s="690"/>
      <c r="FZ115" s="690"/>
      <c r="GA115" s="690"/>
      <c r="GB115" s="690"/>
      <c r="GC115" s="690"/>
      <c r="GD115" s="690"/>
      <c r="GE115" s="690"/>
      <c r="GF115" s="690"/>
      <c r="GG115" s="690"/>
      <c r="GH115" s="690"/>
      <c r="GI115" s="690"/>
      <c r="GJ115" s="690"/>
      <c r="GK115" s="690"/>
      <c r="GL115" s="690"/>
      <c r="GM115" s="690"/>
      <c r="GN115" s="690"/>
      <c r="GO115" s="690"/>
      <c r="GP115" s="690"/>
      <c r="GQ115" s="690"/>
      <c r="GR115" s="690"/>
      <c r="GS115" s="690"/>
      <c r="GT115" s="690"/>
      <c r="GU115" s="690"/>
      <c r="GV115" s="690"/>
      <c r="GW115" s="690"/>
      <c r="GX115" s="690"/>
      <c r="GY115" s="690"/>
      <c r="GZ115" s="690"/>
      <c r="HA115" s="690"/>
      <c r="HB115" s="690"/>
      <c r="HC115" s="690"/>
      <c r="HD115" s="690"/>
      <c r="HE115" s="690"/>
      <c r="HF115" s="690"/>
      <c r="HG115" s="690"/>
      <c r="HH115" s="690"/>
      <c r="HI115" s="690"/>
      <c r="HJ115" s="690"/>
      <c r="HK115" s="690"/>
      <c r="HL115" s="690"/>
      <c r="HM115" s="690"/>
      <c r="HN115" s="690"/>
      <c r="HO115" s="690"/>
      <c r="HP115" s="690"/>
      <c r="HQ115" s="690"/>
      <c r="HR115" s="690"/>
      <c r="HS115" s="690"/>
      <c r="HT115" s="690"/>
      <c r="HU115" s="690"/>
      <c r="HV115" s="690"/>
      <c r="HW115" s="690"/>
      <c r="HX115" s="690"/>
      <c r="HY115" s="690"/>
      <c r="HZ115" s="690"/>
      <c r="IA115" s="690"/>
      <c r="IB115" s="690"/>
      <c r="IC115" s="690"/>
      <c r="ID115" s="690"/>
      <c r="IE115" s="690"/>
      <c r="IF115" s="690"/>
      <c r="IG115" s="690"/>
      <c r="IH115" s="690"/>
      <c r="II115" s="690"/>
      <c r="IJ115" s="690"/>
      <c r="IK115" s="690"/>
      <c r="IL115" s="690"/>
    </row>
    <row r="116" spans="1:246" customFormat="1" ht="15.75">
      <c r="C116" s="702" t="s">
        <v>2156</v>
      </c>
      <c r="D116" s="41"/>
      <c r="E116" s="41"/>
      <c r="F116" s="41"/>
      <c r="G116" s="41"/>
      <c r="H116" s="41"/>
      <c r="I116" s="41"/>
      <c r="J116" s="41"/>
      <c r="K116" s="41"/>
      <c r="L116" s="41"/>
      <c r="M116" s="41"/>
      <c r="N116" s="41"/>
      <c r="O116" s="41"/>
      <c r="P116" s="41"/>
      <c r="Q116" s="41"/>
      <c r="R116" s="41"/>
      <c r="S116" s="41"/>
    </row>
    <row r="117" spans="1:246" customFormat="1" ht="15.75">
      <c r="C117" s="689"/>
      <c r="D117" s="41"/>
      <c r="E117" s="41"/>
      <c r="F117" s="41"/>
      <c r="G117" s="41"/>
      <c r="H117" s="41"/>
      <c r="I117" s="41"/>
      <c r="J117" s="41"/>
      <c r="K117" s="41"/>
      <c r="L117" s="41"/>
      <c r="M117" s="41"/>
      <c r="N117" s="41"/>
      <c r="O117" s="41"/>
      <c r="P117" s="41"/>
      <c r="Q117" s="41"/>
      <c r="R117" s="41"/>
      <c r="S117" s="41"/>
    </row>
    <row r="118" spans="1:246" customFormat="1" ht="15.75">
      <c r="C118" s="38" t="s">
        <v>153</v>
      </c>
      <c r="D118" s="41"/>
      <c r="E118" s="41"/>
      <c r="F118" s="41"/>
      <c r="G118" s="41"/>
      <c r="H118" s="41"/>
      <c r="I118" s="41"/>
      <c r="J118" s="41"/>
      <c r="K118" s="41"/>
      <c r="L118" s="685"/>
      <c r="M118" s="41"/>
      <c r="N118" s="41"/>
      <c r="O118" s="41"/>
      <c r="P118" s="41"/>
      <c r="Q118" s="41"/>
      <c r="R118" s="41"/>
      <c r="S118" s="41"/>
    </row>
    <row r="119" spans="1:246" customFormat="1" ht="63.75">
      <c r="A119" s="685"/>
      <c r="C119" s="700" t="s">
        <v>182</v>
      </c>
      <c r="D119" s="700"/>
      <c r="E119" s="700" t="s">
        <v>2352</v>
      </c>
      <c r="F119" s="700" t="s">
        <v>2354</v>
      </c>
      <c r="G119" s="700" t="s">
        <v>2355</v>
      </c>
      <c r="H119" s="700" t="s">
        <v>2353</v>
      </c>
      <c r="I119" s="700" t="s">
        <v>2356</v>
      </c>
      <c r="J119" s="700" t="s">
        <v>2357</v>
      </c>
      <c r="K119" s="715">
        <v>1</v>
      </c>
      <c r="L119" s="685"/>
      <c r="M119" s="695"/>
      <c r="N119" s="41"/>
      <c r="O119" s="41"/>
      <c r="P119" s="41"/>
      <c r="Q119" s="41"/>
      <c r="R119" s="41"/>
      <c r="S119" s="41"/>
    </row>
    <row r="120" spans="1:246" customFormat="1" ht="15.75">
      <c r="A120" s="685"/>
      <c r="B120" s="699">
        <v>1</v>
      </c>
      <c r="C120" s="22" t="s">
        <v>2157</v>
      </c>
      <c r="D120" s="22" t="s">
        <v>117</v>
      </c>
      <c r="E120" s="47">
        <v>7.5000000000000002E-4</v>
      </c>
      <c r="F120" s="40"/>
      <c r="G120" s="40"/>
      <c r="H120" s="40"/>
      <c r="I120" s="40"/>
      <c r="J120" s="40"/>
      <c r="K120" s="715">
        <v>2</v>
      </c>
      <c r="L120" s="685"/>
      <c r="M120" s="695"/>
      <c r="N120" s="41"/>
      <c r="O120" s="41"/>
      <c r="P120" s="41"/>
      <c r="Q120" s="41"/>
      <c r="R120" s="41"/>
      <c r="S120" s="41"/>
    </row>
    <row r="121" spans="1:246" customFormat="1" ht="15.75">
      <c r="A121" s="685"/>
      <c r="B121" s="699">
        <v>2</v>
      </c>
      <c r="C121" s="22" t="s">
        <v>174</v>
      </c>
      <c r="D121" s="22" t="s">
        <v>117</v>
      </c>
      <c r="E121" s="87">
        <v>2.0999999999999999E-3</v>
      </c>
      <c r="F121" s="40"/>
      <c r="G121" s="40"/>
      <c r="H121" s="40"/>
      <c r="I121" s="40"/>
      <c r="J121" s="40"/>
      <c r="K121" s="715">
        <v>3</v>
      </c>
      <c r="L121" s="685"/>
      <c r="M121" s="695"/>
      <c r="N121" s="41"/>
      <c r="O121" s="41"/>
      <c r="P121" s="41"/>
      <c r="Q121" s="41"/>
      <c r="R121" s="41"/>
      <c r="S121" s="41"/>
    </row>
    <row r="122" spans="1:246" customFormat="1" ht="15.75">
      <c r="A122" s="685"/>
      <c r="B122" s="699">
        <v>3</v>
      </c>
      <c r="C122" s="22" t="s">
        <v>285</v>
      </c>
      <c r="D122" s="22" t="s">
        <v>79</v>
      </c>
      <c r="E122" s="40"/>
      <c r="F122" s="40">
        <v>1</v>
      </c>
      <c r="G122" s="40"/>
      <c r="H122" s="40">
        <v>1</v>
      </c>
      <c r="I122" s="40"/>
      <c r="J122" s="40"/>
      <c r="K122" s="715">
        <v>4</v>
      </c>
      <c r="L122" s="685"/>
      <c r="M122" s="695"/>
      <c r="N122" s="41"/>
      <c r="O122" s="41"/>
      <c r="P122" s="41"/>
      <c r="Q122" s="41"/>
      <c r="R122" s="41"/>
      <c r="S122" s="41"/>
    </row>
    <row r="123" spans="1:246" customFormat="1" ht="15.75">
      <c r="A123" s="685"/>
      <c r="B123" s="699">
        <v>4</v>
      </c>
      <c r="C123" s="22" t="s">
        <v>2158</v>
      </c>
      <c r="D123" s="22" t="s">
        <v>90</v>
      </c>
      <c r="E123" s="40"/>
      <c r="F123" s="39">
        <v>200</v>
      </c>
      <c r="G123" s="40"/>
      <c r="H123" s="39">
        <v>200</v>
      </c>
      <c r="I123" s="40"/>
      <c r="J123" s="40"/>
      <c r="K123" s="715">
        <v>5</v>
      </c>
      <c r="L123" s="685"/>
      <c r="M123" s="695"/>
      <c r="N123" s="41"/>
      <c r="O123" s="41"/>
      <c r="P123" s="41"/>
      <c r="Q123" s="41"/>
      <c r="R123" s="41"/>
      <c r="S123" s="41"/>
    </row>
    <row r="124" spans="1:246" customFormat="1" ht="15.75">
      <c r="A124" s="685"/>
      <c r="B124" s="699">
        <v>5</v>
      </c>
      <c r="C124" s="22" t="s">
        <v>286</v>
      </c>
      <c r="D124" s="22" t="s">
        <v>79</v>
      </c>
      <c r="E124" s="40"/>
      <c r="F124" s="40"/>
      <c r="G124" s="40"/>
      <c r="H124" s="40"/>
      <c r="I124" s="40">
        <v>2.5</v>
      </c>
      <c r="J124" s="40"/>
      <c r="K124" s="715">
        <v>6</v>
      </c>
      <c r="L124" s="685"/>
      <c r="M124" s="695"/>
      <c r="N124" s="41"/>
      <c r="O124" s="41"/>
      <c r="P124" s="41"/>
      <c r="Q124" s="41"/>
      <c r="R124" s="41"/>
      <c r="S124" s="41"/>
    </row>
    <row r="125" spans="1:246" customFormat="1" ht="15.75">
      <c r="A125" s="685"/>
      <c r="B125" s="699">
        <v>6</v>
      </c>
      <c r="C125" s="22" t="s">
        <v>287</v>
      </c>
      <c r="D125" s="22" t="s">
        <v>79</v>
      </c>
      <c r="E125" s="40"/>
      <c r="F125" s="40"/>
      <c r="G125" s="40"/>
      <c r="H125" s="40"/>
      <c r="I125" s="40">
        <v>2.4</v>
      </c>
      <c r="J125" s="40"/>
      <c r="K125" s="715">
        <v>7</v>
      </c>
      <c r="L125" s="685"/>
      <c r="M125" s="695"/>
      <c r="N125" s="41"/>
      <c r="O125" s="41"/>
      <c r="P125" s="41"/>
      <c r="Q125" s="41"/>
      <c r="R125" s="41"/>
      <c r="S125" s="41"/>
    </row>
    <row r="126" spans="1:246" customFormat="1" ht="15.75">
      <c r="A126" s="685"/>
      <c r="B126" s="699">
        <v>7</v>
      </c>
      <c r="C126" s="22" t="s">
        <v>2159</v>
      </c>
      <c r="D126" s="22" t="s">
        <v>90</v>
      </c>
      <c r="E126" s="40"/>
      <c r="F126" s="40"/>
      <c r="G126" s="40"/>
      <c r="H126" s="40"/>
      <c r="I126" s="39">
        <v>200</v>
      </c>
      <c r="J126" s="40"/>
      <c r="K126" s="715">
        <v>8</v>
      </c>
      <c r="L126" s="685"/>
      <c r="M126" s="695"/>
      <c r="N126" s="41"/>
      <c r="O126" s="41"/>
      <c r="P126" s="41"/>
      <c r="Q126" s="41"/>
      <c r="R126" s="41"/>
      <c r="S126" s="41"/>
    </row>
    <row r="127" spans="1:246" customFormat="1" ht="15.75">
      <c r="A127" s="685"/>
      <c r="B127" s="699">
        <v>8</v>
      </c>
      <c r="C127" s="22" t="s">
        <v>288</v>
      </c>
      <c r="D127" s="22" t="s">
        <v>16</v>
      </c>
      <c r="E127" s="40"/>
      <c r="F127" s="40"/>
      <c r="G127" s="40"/>
      <c r="H127" s="40"/>
      <c r="I127" s="39">
        <v>120</v>
      </c>
      <c r="J127" s="40"/>
      <c r="K127" s="715">
        <v>9</v>
      </c>
      <c r="L127" s="685"/>
      <c r="M127" s="695"/>
      <c r="N127" s="41"/>
      <c r="O127" s="41"/>
      <c r="P127" s="41"/>
      <c r="Q127" s="41"/>
      <c r="R127" s="41"/>
      <c r="S127" s="41"/>
    </row>
    <row r="128" spans="1:246" customFormat="1" ht="15.75">
      <c r="A128" s="685"/>
      <c r="B128" s="699">
        <v>9</v>
      </c>
      <c r="C128" s="22" t="s">
        <v>289</v>
      </c>
      <c r="D128" s="22" t="s">
        <v>16</v>
      </c>
      <c r="E128" s="40"/>
      <c r="F128" s="40"/>
      <c r="G128" s="40"/>
      <c r="H128" s="40"/>
      <c r="I128" s="39">
        <v>130</v>
      </c>
      <c r="J128" s="40"/>
      <c r="K128" s="715">
        <v>10</v>
      </c>
      <c r="L128" s="685"/>
      <c r="M128" s="695"/>
      <c r="N128" s="41"/>
      <c r="O128" s="41"/>
      <c r="P128" s="41"/>
      <c r="Q128" s="41"/>
      <c r="R128" s="41"/>
      <c r="S128" s="41"/>
    </row>
    <row r="129" spans="1:250" customFormat="1" ht="15.75">
      <c r="A129" s="685"/>
      <c r="B129" s="699">
        <v>10</v>
      </c>
      <c r="C129" s="22" t="s">
        <v>290</v>
      </c>
      <c r="D129" s="22" t="s">
        <v>150</v>
      </c>
      <c r="E129" s="40"/>
      <c r="F129" s="40"/>
      <c r="G129" s="40"/>
      <c r="H129" s="40"/>
      <c r="I129" s="40">
        <v>0.63</v>
      </c>
      <c r="J129" s="40"/>
      <c r="K129" s="715">
        <v>11</v>
      </c>
      <c r="L129" s="685"/>
      <c r="M129" s="695"/>
      <c r="N129" s="41"/>
      <c r="O129" s="41"/>
      <c r="P129" s="41"/>
      <c r="Q129" s="41"/>
      <c r="R129" s="41"/>
      <c r="S129" s="41"/>
    </row>
    <row r="130" spans="1:250" customFormat="1" ht="15.75">
      <c r="A130" s="685"/>
      <c r="B130" s="699">
        <v>11</v>
      </c>
      <c r="C130" s="22" t="s">
        <v>291</v>
      </c>
      <c r="D130" s="22" t="s">
        <v>150</v>
      </c>
      <c r="E130" s="40"/>
      <c r="F130" s="40"/>
      <c r="G130" s="40"/>
      <c r="H130" s="40"/>
      <c r="I130" s="40">
        <v>0.98</v>
      </c>
      <c r="J130" s="40"/>
      <c r="K130" s="715">
        <v>12</v>
      </c>
      <c r="L130" s="685"/>
      <c r="M130" s="695"/>
      <c r="N130" s="41"/>
      <c r="O130" s="41"/>
      <c r="P130" s="41"/>
      <c r="Q130" s="41"/>
      <c r="R130" s="41"/>
      <c r="S130" s="41"/>
    </row>
    <row r="131" spans="1:250" customFormat="1" ht="15.75">
      <c r="A131" s="685"/>
      <c r="B131" s="699">
        <v>12</v>
      </c>
      <c r="C131" s="22" t="s">
        <v>180</v>
      </c>
      <c r="D131" s="22" t="s">
        <v>90</v>
      </c>
      <c r="E131" s="40">
        <v>4.8</v>
      </c>
      <c r="F131" s="40">
        <v>4.8</v>
      </c>
      <c r="G131" s="40">
        <v>8</v>
      </c>
      <c r="H131" s="40">
        <v>10</v>
      </c>
      <c r="I131" s="40">
        <v>0</v>
      </c>
      <c r="J131" s="40">
        <v>0</v>
      </c>
      <c r="K131" s="715">
        <v>13</v>
      </c>
      <c r="L131" s="685"/>
      <c r="M131" s="695"/>
      <c r="N131" s="41"/>
      <c r="O131" s="41"/>
      <c r="P131" s="41"/>
      <c r="Q131" s="41"/>
      <c r="R131" s="41"/>
      <c r="S131" s="41"/>
    </row>
    <row r="132" spans="1:250" customFormat="1" ht="15.75">
      <c r="A132" s="685"/>
      <c r="B132" s="699">
        <v>13</v>
      </c>
      <c r="C132" s="22" t="s">
        <v>2160</v>
      </c>
      <c r="D132" s="22" t="s">
        <v>181</v>
      </c>
      <c r="E132" s="45">
        <v>1.1000000000000001</v>
      </c>
      <c r="F132" s="45">
        <v>1.1000000000000001</v>
      </c>
      <c r="G132" s="45">
        <v>1.1000000000000001</v>
      </c>
      <c r="H132" s="45">
        <v>1.5</v>
      </c>
      <c r="I132" s="45"/>
      <c r="J132" s="45"/>
      <c r="K132" s="715">
        <v>14</v>
      </c>
      <c r="L132" s="685"/>
      <c r="M132" s="695"/>
      <c r="N132" s="41"/>
      <c r="O132" s="41"/>
      <c r="P132" s="41"/>
      <c r="Q132" s="41"/>
      <c r="R132" s="41"/>
      <c r="S132" s="41"/>
    </row>
    <row r="133" spans="1:250" customFormat="1" ht="15.75">
      <c r="A133" s="685"/>
      <c r="B133" s="699">
        <v>14</v>
      </c>
      <c r="C133" s="22" t="s">
        <v>283</v>
      </c>
      <c r="D133" s="22" t="s">
        <v>181</v>
      </c>
      <c r="E133" s="45">
        <v>1.1000000000000001</v>
      </c>
      <c r="F133" s="45">
        <v>1.1000000000000001</v>
      </c>
      <c r="G133" s="45">
        <v>1.1000000000000001</v>
      </c>
      <c r="H133" s="45">
        <v>1.1000000000000001</v>
      </c>
      <c r="I133" s="45">
        <v>1.1000000000000001</v>
      </c>
      <c r="J133" s="45">
        <v>1</v>
      </c>
      <c r="K133" s="715">
        <v>15</v>
      </c>
      <c r="L133" s="685"/>
      <c r="M133" s="695"/>
      <c r="N133" s="41"/>
      <c r="O133" s="41"/>
      <c r="P133" s="41"/>
      <c r="Q133" s="41"/>
      <c r="R133" s="41"/>
      <c r="S133" s="41"/>
    </row>
    <row r="134" spans="1:250" customFormat="1" ht="15.75">
      <c r="A134" s="685"/>
      <c r="B134" s="699">
        <v>15</v>
      </c>
      <c r="C134" s="22" t="s">
        <v>140</v>
      </c>
      <c r="D134" s="22" t="s">
        <v>90</v>
      </c>
      <c r="E134" s="39">
        <v>150</v>
      </c>
      <c r="F134" s="45"/>
      <c r="G134" s="45"/>
      <c r="H134" s="45"/>
      <c r="I134" s="45"/>
      <c r="J134" s="45"/>
      <c r="K134" s="715">
        <v>16</v>
      </c>
      <c r="L134" s="685"/>
      <c r="M134" s="695"/>
      <c r="N134" s="41"/>
      <c r="O134" s="41"/>
      <c r="P134" s="41"/>
      <c r="Q134" s="41"/>
      <c r="R134" s="41"/>
      <c r="S134" s="41"/>
    </row>
    <row r="135" spans="1:250" customFormat="1" ht="15.75">
      <c r="C135" s="689"/>
      <c r="D135" s="41"/>
      <c r="E135" s="41"/>
      <c r="F135" s="41"/>
      <c r="G135" s="41"/>
      <c r="H135" s="41"/>
      <c r="I135" s="41"/>
      <c r="J135" s="41"/>
      <c r="K135" s="41"/>
      <c r="L135" s="41"/>
      <c r="M135" s="41"/>
      <c r="N135" s="41"/>
      <c r="O135" s="41"/>
      <c r="P135" s="41"/>
      <c r="Q135" s="41"/>
      <c r="R135" s="41"/>
      <c r="S135" s="41"/>
      <c r="T135" s="41"/>
    </row>
    <row r="136" spans="1:250" customFormat="1" ht="15.75">
      <c r="C136" s="688" t="s">
        <v>319</v>
      </c>
      <c r="D136" s="716"/>
      <c r="E136" s="716" t="s">
        <v>264</v>
      </c>
      <c r="F136" s="716"/>
      <c r="G136" s="716"/>
      <c r="H136" s="716"/>
      <c r="I136" s="717" t="s">
        <v>265</v>
      </c>
      <c r="J136" s="716"/>
      <c r="K136" s="716"/>
      <c r="L136" s="717" t="s">
        <v>266</v>
      </c>
      <c r="M136" s="716"/>
      <c r="N136" s="716"/>
      <c r="O136" s="41"/>
      <c r="P136" s="41"/>
      <c r="Q136" s="41"/>
      <c r="R136" s="41"/>
      <c r="S136" s="41"/>
      <c r="T136" s="41"/>
      <c r="U136" s="41"/>
    </row>
    <row r="137" spans="1:250" s="692" customFormat="1" ht="81" customHeight="1">
      <c r="B137" s="706"/>
      <c r="C137" s="30" t="s">
        <v>2161</v>
      </c>
      <c r="D137" s="37"/>
      <c r="E137" s="37" t="s">
        <v>2162</v>
      </c>
      <c r="F137" s="37" t="s">
        <v>2163</v>
      </c>
      <c r="G137" s="37" t="s">
        <v>2164</v>
      </c>
      <c r="H137" s="37" t="s">
        <v>2165</v>
      </c>
      <c r="I137" s="37" t="s">
        <v>2166</v>
      </c>
      <c r="J137" s="37" t="s">
        <v>2167</v>
      </c>
      <c r="K137" s="37" t="s">
        <v>2168</v>
      </c>
      <c r="L137" s="37" t="s">
        <v>2169</v>
      </c>
      <c r="M137" s="37" t="s">
        <v>2170</v>
      </c>
      <c r="N137" s="37" t="s">
        <v>2171</v>
      </c>
      <c r="O137" s="41"/>
      <c r="P137" s="41"/>
      <c r="Q137" s="41"/>
      <c r="R137" s="41"/>
      <c r="S137" s="41"/>
      <c r="T137" s="41"/>
      <c r="U137" s="41"/>
      <c r="V137" s="691"/>
      <c r="W137" s="691"/>
      <c r="X137" s="691"/>
      <c r="Y137" s="691"/>
      <c r="Z137" s="691"/>
      <c r="AA137" s="691"/>
      <c r="AB137" s="691"/>
      <c r="AC137" s="691"/>
      <c r="AD137" s="691"/>
      <c r="AE137" s="691"/>
      <c r="AF137" s="691"/>
      <c r="AG137" s="691"/>
      <c r="AH137" s="691"/>
      <c r="AI137" s="691"/>
      <c r="AJ137" s="691"/>
      <c r="AK137" s="691"/>
      <c r="AL137" s="691"/>
      <c r="AM137" s="691"/>
      <c r="AN137" s="691"/>
      <c r="AO137" s="691"/>
      <c r="AP137" s="691"/>
      <c r="AQ137" s="691"/>
      <c r="AR137" s="691"/>
      <c r="AS137" s="691"/>
      <c r="AT137" s="691"/>
      <c r="AU137" s="691"/>
      <c r="AV137" s="691"/>
      <c r="AW137" s="691"/>
      <c r="AX137" s="691"/>
      <c r="AY137" s="691"/>
      <c r="AZ137" s="691"/>
      <c r="BA137" s="691"/>
      <c r="BB137" s="691"/>
      <c r="BC137" s="691"/>
      <c r="BD137" s="691"/>
      <c r="BE137" s="691"/>
      <c r="BF137" s="691"/>
      <c r="BG137" s="691"/>
      <c r="BH137" s="691"/>
      <c r="BI137" s="691"/>
      <c r="BJ137" s="691"/>
      <c r="BK137" s="691"/>
      <c r="BL137" s="691"/>
      <c r="BM137" s="691"/>
      <c r="BN137" s="691"/>
      <c r="BO137" s="691"/>
      <c r="BP137" s="691"/>
      <c r="BQ137" s="691"/>
      <c r="BR137" s="691"/>
      <c r="BS137" s="691"/>
      <c r="BT137" s="691"/>
      <c r="BU137" s="691"/>
      <c r="BV137" s="691"/>
      <c r="BW137" s="691"/>
      <c r="BX137" s="691"/>
      <c r="BY137" s="691"/>
      <c r="BZ137" s="691"/>
      <c r="CA137" s="691"/>
      <c r="CB137" s="691"/>
      <c r="CC137" s="691"/>
      <c r="CD137" s="691"/>
      <c r="CE137" s="691"/>
      <c r="CF137" s="691"/>
      <c r="CG137" s="691"/>
      <c r="CH137" s="691"/>
      <c r="CI137" s="691"/>
      <c r="CJ137" s="691"/>
      <c r="CK137" s="691"/>
      <c r="CL137" s="691"/>
      <c r="CM137" s="691"/>
      <c r="CN137" s="691"/>
      <c r="CO137" s="691"/>
      <c r="CP137" s="691"/>
      <c r="CQ137" s="691"/>
      <c r="CR137" s="691"/>
      <c r="CS137" s="691"/>
      <c r="CT137" s="691"/>
      <c r="CU137" s="691"/>
      <c r="CV137" s="691"/>
      <c r="CW137" s="691"/>
      <c r="CX137" s="691"/>
      <c r="CY137" s="691"/>
      <c r="CZ137" s="691"/>
      <c r="DA137" s="691"/>
      <c r="DB137" s="691"/>
      <c r="DC137" s="691"/>
      <c r="DD137" s="691"/>
      <c r="DE137" s="691"/>
      <c r="DF137" s="691"/>
      <c r="DG137" s="691"/>
      <c r="DH137" s="691"/>
      <c r="DI137" s="691"/>
      <c r="DJ137" s="691"/>
      <c r="DK137" s="691"/>
      <c r="DL137" s="691"/>
      <c r="DM137" s="691"/>
      <c r="DN137" s="691"/>
      <c r="DO137" s="691"/>
      <c r="DP137" s="691"/>
      <c r="DQ137" s="691"/>
      <c r="DR137" s="691"/>
      <c r="DS137" s="691"/>
      <c r="DT137" s="691"/>
      <c r="DU137" s="691"/>
      <c r="DV137" s="691"/>
      <c r="DW137" s="691"/>
      <c r="DX137" s="691"/>
      <c r="DY137" s="691"/>
      <c r="DZ137" s="691"/>
      <c r="EA137" s="691"/>
      <c r="EB137" s="691"/>
      <c r="EC137" s="691"/>
      <c r="ED137" s="691"/>
      <c r="EE137" s="691"/>
      <c r="EF137" s="691"/>
      <c r="EG137" s="691"/>
      <c r="EH137" s="691"/>
      <c r="EI137" s="691"/>
      <c r="EJ137" s="691"/>
      <c r="EK137" s="691"/>
      <c r="EL137" s="691"/>
      <c r="EM137" s="691"/>
      <c r="EN137" s="691"/>
      <c r="EO137" s="691"/>
      <c r="EP137" s="691"/>
      <c r="EQ137" s="691"/>
      <c r="ER137" s="691"/>
      <c r="ES137" s="691"/>
      <c r="ET137" s="691"/>
      <c r="EU137" s="691"/>
      <c r="EV137" s="691"/>
      <c r="EW137" s="691"/>
      <c r="EX137" s="691"/>
      <c r="EY137" s="691"/>
      <c r="EZ137" s="691"/>
      <c r="FA137" s="691"/>
      <c r="FB137" s="691"/>
      <c r="FC137" s="691"/>
      <c r="FD137" s="691"/>
      <c r="FE137" s="691"/>
      <c r="FF137" s="691"/>
      <c r="FG137" s="691"/>
      <c r="FH137" s="691"/>
      <c r="FI137" s="691"/>
      <c r="FJ137" s="691"/>
      <c r="FK137" s="691"/>
      <c r="FL137" s="691"/>
      <c r="FM137" s="691"/>
      <c r="FN137" s="691"/>
      <c r="FO137" s="691"/>
      <c r="FP137" s="691"/>
      <c r="FQ137" s="691"/>
      <c r="FR137" s="691"/>
      <c r="FS137" s="691"/>
      <c r="FT137" s="691"/>
      <c r="FU137" s="691"/>
      <c r="FV137" s="691"/>
      <c r="FW137" s="691"/>
      <c r="FX137" s="691"/>
      <c r="FY137" s="691"/>
      <c r="FZ137" s="691"/>
      <c r="GA137" s="691"/>
      <c r="GB137" s="691"/>
      <c r="GC137" s="691"/>
      <c r="GD137" s="691"/>
      <c r="GE137" s="691"/>
      <c r="GF137" s="691"/>
      <c r="GG137" s="691"/>
      <c r="GH137" s="691"/>
      <c r="GI137" s="691"/>
      <c r="GJ137" s="691"/>
      <c r="GK137" s="691"/>
      <c r="GL137" s="691"/>
      <c r="GM137" s="691"/>
      <c r="GN137" s="691"/>
      <c r="GO137" s="691"/>
      <c r="GP137" s="691"/>
      <c r="GQ137" s="691"/>
      <c r="GR137" s="691"/>
      <c r="GS137" s="691"/>
      <c r="GT137" s="691"/>
      <c r="GU137" s="691"/>
      <c r="GV137" s="691"/>
      <c r="GW137" s="691"/>
      <c r="GX137" s="691"/>
      <c r="GY137" s="691"/>
      <c r="GZ137" s="691"/>
      <c r="HA137" s="691"/>
      <c r="HB137" s="691"/>
      <c r="HC137" s="691"/>
      <c r="HD137" s="691"/>
      <c r="HE137" s="691"/>
      <c r="HF137" s="691"/>
      <c r="HG137" s="691"/>
      <c r="HH137" s="691"/>
      <c r="HI137" s="691"/>
      <c r="HJ137" s="691"/>
      <c r="HK137" s="691"/>
      <c r="HL137" s="691"/>
      <c r="HM137" s="691"/>
      <c r="HN137" s="691"/>
      <c r="HO137" s="691"/>
      <c r="HP137" s="691"/>
      <c r="HQ137" s="691"/>
      <c r="HR137" s="691"/>
      <c r="HS137" s="691"/>
      <c r="HT137" s="691"/>
      <c r="HU137" s="691"/>
      <c r="HV137" s="691"/>
      <c r="HW137" s="691"/>
      <c r="HX137" s="691"/>
      <c r="HY137" s="691"/>
      <c r="HZ137" s="691"/>
      <c r="IA137" s="691"/>
      <c r="IB137" s="691"/>
      <c r="IC137" s="691"/>
      <c r="ID137" s="691"/>
      <c r="IE137" s="691"/>
      <c r="IF137" s="691"/>
      <c r="IG137" s="691"/>
      <c r="IH137" s="691"/>
      <c r="II137" s="691"/>
      <c r="IJ137" s="691"/>
      <c r="IK137" s="691"/>
      <c r="IL137" s="691"/>
      <c r="IM137" s="691"/>
      <c r="IN137" s="691"/>
      <c r="IO137" s="691"/>
      <c r="IP137" s="691"/>
    </row>
    <row r="138" spans="1:250" s="692" customFormat="1" ht="15.75">
      <c r="B138" s="706"/>
      <c r="C138" s="30"/>
      <c r="D138" s="37"/>
      <c r="E138" s="37" t="s">
        <v>119</v>
      </c>
      <c r="F138" s="37" t="s">
        <v>119</v>
      </c>
      <c r="G138" s="37" t="s">
        <v>119</v>
      </c>
      <c r="H138" s="37" t="s">
        <v>119</v>
      </c>
      <c r="I138" s="37" t="s">
        <v>119</v>
      </c>
      <c r="J138" s="37" t="s">
        <v>119</v>
      </c>
      <c r="K138" s="37" t="s">
        <v>119</v>
      </c>
      <c r="L138" s="37" t="s">
        <v>119</v>
      </c>
      <c r="M138" s="37" t="s">
        <v>119</v>
      </c>
      <c r="N138" s="37">
        <v>3</v>
      </c>
      <c r="O138" s="41"/>
      <c r="P138" s="41"/>
      <c r="Q138" s="41"/>
      <c r="R138" s="41"/>
      <c r="S138" s="41"/>
      <c r="T138" s="41"/>
      <c r="U138" s="41"/>
      <c r="V138" s="691"/>
      <c r="W138" s="691"/>
      <c r="X138" s="691"/>
      <c r="Y138" s="691"/>
      <c r="Z138" s="691"/>
      <c r="AA138" s="691"/>
      <c r="AB138" s="691"/>
      <c r="AC138" s="691"/>
      <c r="AD138" s="691"/>
      <c r="AE138" s="691"/>
      <c r="AF138" s="691"/>
      <c r="AG138" s="691"/>
      <c r="AH138" s="691"/>
      <c r="AI138" s="691"/>
      <c r="AJ138" s="691"/>
      <c r="AK138" s="691"/>
      <c r="AL138" s="691"/>
      <c r="AM138" s="691"/>
      <c r="AN138" s="691"/>
      <c r="AO138" s="691"/>
      <c r="AP138" s="691"/>
      <c r="AQ138" s="691"/>
      <c r="AR138" s="691"/>
      <c r="AS138" s="691"/>
      <c r="AT138" s="691"/>
      <c r="AU138" s="691"/>
      <c r="AV138" s="691"/>
      <c r="AW138" s="691"/>
      <c r="AX138" s="691"/>
      <c r="AY138" s="691"/>
      <c r="AZ138" s="691"/>
      <c r="BA138" s="691"/>
      <c r="BB138" s="691"/>
      <c r="BC138" s="691"/>
      <c r="BD138" s="691"/>
      <c r="BE138" s="691"/>
      <c r="BF138" s="691"/>
      <c r="BG138" s="691"/>
      <c r="BH138" s="691"/>
      <c r="BI138" s="691"/>
      <c r="BJ138" s="691"/>
      <c r="BK138" s="691"/>
      <c r="BL138" s="691"/>
      <c r="BM138" s="691"/>
      <c r="BN138" s="691"/>
      <c r="BO138" s="691"/>
      <c r="BP138" s="691"/>
      <c r="BQ138" s="691"/>
      <c r="BR138" s="691"/>
      <c r="BS138" s="691"/>
      <c r="BT138" s="691"/>
      <c r="BU138" s="691"/>
      <c r="BV138" s="691"/>
      <c r="BW138" s="691"/>
      <c r="BX138" s="691"/>
      <c r="BY138" s="691"/>
      <c r="BZ138" s="691"/>
      <c r="CA138" s="691"/>
      <c r="CB138" s="691"/>
      <c r="CC138" s="691"/>
      <c r="CD138" s="691"/>
      <c r="CE138" s="691"/>
      <c r="CF138" s="691"/>
      <c r="CG138" s="691"/>
      <c r="CH138" s="691"/>
      <c r="CI138" s="691"/>
      <c r="CJ138" s="691"/>
      <c r="CK138" s="691"/>
      <c r="CL138" s="691"/>
      <c r="CM138" s="691"/>
      <c r="CN138" s="691"/>
      <c r="CO138" s="691"/>
      <c r="CP138" s="691"/>
      <c r="CQ138" s="691"/>
      <c r="CR138" s="691"/>
      <c r="CS138" s="691"/>
      <c r="CT138" s="691"/>
      <c r="CU138" s="691"/>
      <c r="CV138" s="691"/>
      <c r="CW138" s="691"/>
      <c r="CX138" s="691"/>
      <c r="CY138" s="691"/>
      <c r="CZ138" s="691"/>
      <c r="DA138" s="691"/>
      <c r="DB138" s="691"/>
      <c r="DC138" s="691"/>
      <c r="DD138" s="691"/>
      <c r="DE138" s="691"/>
      <c r="DF138" s="691"/>
      <c r="DG138" s="691"/>
      <c r="DH138" s="691"/>
      <c r="DI138" s="691"/>
      <c r="DJ138" s="691"/>
      <c r="DK138" s="691"/>
      <c r="DL138" s="691"/>
      <c r="DM138" s="691"/>
      <c r="DN138" s="691"/>
      <c r="DO138" s="691"/>
      <c r="DP138" s="691"/>
      <c r="DQ138" s="691"/>
      <c r="DR138" s="691"/>
      <c r="DS138" s="691"/>
      <c r="DT138" s="691"/>
      <c r="DU138" s="691"/>
      <c r="DV138" s="691"/>
      <c r="DW138" s="691"/>
      <c r="DX138" s="691"/>
      <c r="DY138" s="691"/>
      <c r="DZ138" s="691"/>
      <c r="EA138" s="691"/>
      <c r="EB138" s="691"/>
      <c r="EC138" s="691"/>
      <c r="ED138" s="691"/>
      <c r="EE138" s="691"/>
      <c r="EF138" s="691"/>
      <c r="EG138" s="691"/>
      <c r="EH138" s="691"/>
      <c r="EI138" s="691"/>
      <c r="EJ138" s="691"/>
      <c r="EK138" s="691"/>
      <c r="EL138" s="691"/>
      <c r="EM138" s="691"/>
      <c r="EN138" s="691"/>
      <c r="EO138" s="691"/>
      <c r="EP138" s="691"/>
      <c r="EQ138" s="691"/>
      <c r="ER138" s="691"/>
      <c r="ES138" s="691"/>
      <c r="ET138" s="691"/>
      <c r="EU138" s="691"/>
      <c r="EV138" s="691"/>
      <c r="EW138" s="691"/>
      <c r="EX138" s="691"/>
      <c r="EY138" s="691"/>
      <c r="EZ138" s="691"/>
      <c r="FA138" s="691"/>
      <c r="FB138" s="691"/>
      <c r="FC138" s="691"/>
      <c r="FD138" s="691"/>
      <c r="FE138" s="691"/>
      <c r="FF138" s="691"/>
      <c r="FG138" s="691"/>
      <c r="FH138" s="691"/>
      <c r="FI138" s="691"/>
      <c r="FJ138" s="691"/>
      <c r="FK138" s="691"/>
      <c r="FL138" s="691"/>
      <c r="FM138" s="691"/>
      <c r="FN138" s="691"/>
      <c r="FO138" s="691"/>
      <c r="FP138" s="691"/>
      <c r="FQ138" s="691"/>
      <c r="FR138" s="691"/>
      <c r="FS138" s="691"/>
      <c r="FT138" s="691"/>
      <c r="FU138" s="691"/>
      <c r="FV138" s="691"/>
      <c r="FW138" s="691"/>
      <c r="FX138" s="691"/>
      <c r="FY138" s="691"/>
      <c r="FZ138" s="691"/>
      <c r="GA138" s="691"/>
      <c r="GB138" s="691"/>
      <c r="GC138" s="691"/>
      <c r="GD138" s="691"/>
      <c r="GE138" s="691"/>
      <c r="GF138" s="691"/>
      <c r="GG138" s="691"/>
      <c r="GH138" s="691"/>
      <c r="GI138" s="691"/>
      <c r="GJ138" s="691"/>
      <c r="GK138" s="691"/>
      <c r="GL138" s="691"/>
      <c r="GM138" s="691"/>
      <c r="GN138" s="691"/>
      <c r="GO138" s="691"/>
      <c r="GP138" s="691"/>
      <c r="GQ138" s="691"/>
      <c r="GR138" s="691"/>
      <c r="GS138" s="691"/>
      <c r="GT138" s="691"/>
      <c r="GU138" s="691"/>
      <c r="GV138" s="691"/>
      <c r="GW138" s="691"/>
      <c r="GX138" s="691"/>
      <c r="GY138" s="691"/>
      <c r="GZ138" s="691"/>
      <c r="HA138" s="691"/>
      <c r="HB138" s="691"/>
      <c r="HC138" s="691"/>
      <c r="HD138" s="691"/>
      <c r="HE138" s="691"/>
      <c r="HF138" s="691"/>
      <c r="HG138" s="691"/>
      <c r="HH138" s="691"/>
      <c r="HI138" s="691"/>
      <c r="HJ138" s="691"/>
      <c r="HK138" s="691"/>
      <c r="HL138" s="691"/>
      <c r="HM138" s="691"/>
      <c r="HN138" s="691"/>
      <c r="HO138" s="691"/>
      <c r="HP138" s="691"/>
      <c r="HQ138" s="691"/>
      <c r="HR138" s="691"/>
      <c r="HS138" s="691"/>
      <c r="HT138" s="691"/>
      <c r="HU138" s="691"/>
      <c r="HV138" s="691"/>
      <c r="HW138" s="691"/>
      <c r="HX138" s="691"/>
      <c r="HY138" s="691"/>
      <c r="HZ138" s="691"/>
      <c r="IA138" s="691"/>
      <c r="IB138" s="691"/>
      <c r="IC138" s="691"/>
      <c r="ID138" s="691"/>
      <c r="IE138" s="691"/>
      <c r="IF138" s="691"/>
      <c r="IG138" s="691"/>
      <c r="IH138" s="691"/>
      <c r="II138" s="691"/>
      <c r="IJ138" s="691"/>
      <c r="IK138" s="691"/>
      <c r="IL138" s="691"/>
      <c r="IM138" s="691"/>
      <c r="IN138" s="691"/>
      <c r="IO138" s="691"/>
      <c r="IP138" s="691"/>
    </row>
    <row r="139" spans="1:250" s="692" customFormat="1" ht="15.75">
      <c r="B139" s="706"/>
      <c r="C139" s="24" t="s">
        <v>267</v>
      </c>
      <c r="D139" s="86"/>
      <c r="E139" s="87">
        <v>4.0000000000000002E-4</v>
      </c>
      <c r="F139" s="87">
        <v>4.0000000000000002E-4</v>
      </c>
      <c r="G139" s="87">
        <v>4.0000000000000002E-4</v>
      </c>
      <c r="H139" s="87">
        <v>4.0000000000000002E-4</v>
      </c>
      <c r="I139" s="130" t="s">
        <v>8</v>
      </c>
      <c r="J139" s="130" t="s">
        <v>8</v>
      </c>
      <c r="K139" s="130" t="s">
        <v>8</v>
      </c>
      <c r="L139" s="130" t="s">
        <v>8</v>
      </c>
      <c r="M139" s="130" t="s">
        <v>8</v>
      </c>
      <c r="N139" s="130" t="s">
        <v>8</v>
      </c>
      <c r="O139" s="41"/>
      <c r="P139" s="41"/>
      <c r="Q139" s="41"/>
      <c r="R139" s="41"/>
      <c r="S139" s="41"/>
      <c r="T139" s="41"/>
      <c r="U139" s="41"/>
      <c r="V139" s="691"/>
      <c r="W139" s="691"/>
      <c r="X139" s="691"/>
      <c r="Y139" s="691"/>
      <c r="Z139" s="691"/>
      <c r="AA139" s="691"/>
      <c r="AB139" s="691"/>
      <c r="AC139" s="691"/>
      <c r="AD139" s="691"/>
      <c r="AE139" s="691"/>
      <c r="AF139" s="691"/>
      <c r="AG139" s="691"/>
      <c r="AH139" s="691"/>
      <c r="AI139" s="691"/>
      <c r="AJ139" s="691"/>
      <c r="AK139" s="691"/>
      <c r="AL139" s="691"/>
      <c r="AM139" s="691"/>
      <c r="AN139" s="691"/>
      <c r="AO139" s="691"/>
      <c r="AP139" s="691"/>
      <c r="AQ139" s="691"/>
      <c r="AR139" s="691"/>
      <c r="AS139" s="691"/>
      <c r="AT139" s="691"/>
      <c r="AU139" s="691"/>
      <c r="AV139" s="691"/>
      <c r="AW139" s="691"/>
      <c r="AX139" s="691"/>
      <c r="AY139" s="691"/>
      <c r="AZ139" s="691"/>
      <c r="BA139" s="691"/>
      <c r="BB139" s="691"/>
      <c r="BC139" s="691"/>
      <c r="BD139" s="691"/>
      <c r="BE139" s="691"/>
      <c r="BF139" s="691"/>
      <c r="BG139" s="691"/>
      <c r="BH139" s="691"/>
      <c r="BI139" s="691"/>
      <c r="BJ139" s="691"/>
      <c r="BK139" s="691"/>
      <c r="BL139" s="691"/>
      <c r="BM139" s="691"/>
      <c r="BN139" s="691"/>
      <c r="BO139" s="691"/>
      <c r="BP139" s="691"/>
      <c r="BQ139" s="691"/>
      <c r="BR139" s="691"/>
      <c r="BS139" s="691"/>
      <c r="BT139" s="691"/>
      <c r="BU139" s="691"/>
      <c r="BV139" s="691"/>
      <c r="BW139" s="691"/>
      <c r="BX139" s="691"/>
      <c r="BY139" s="691"/>
      <c r="BZ139" s="691"/>
      <c r="CA139" s="691"/>
      <c r="CB139" s="691"/>
      <c r="CC139" s="691"/>
      <c r="CD139" s="691"/>
      <c r="CE139" s="691"/>
      <c r="CF139" s="691"/>
      <c r="CG139" s="691"/>
      <c r="CH139" s="691"/>
      <c r="CI139" s="691"/>
      <c r="CJ139" s="691"/>
      <c r="CK139" s="691"/>
      <c r="CL139" s="691"/>
      <c r="CM139" s="691"/>
      <c r="CN139" s="691"/>
      <c r="CO139" s="691"/>
      <c r="CP139" s="691"/>
      <c r="CQ139" s="691"/>
      <c r="CR139" s="691"/>
      <c r="CS139" s="691"/>
      <c r="CT139" s="691"/>
      <c r="CU139" s="691"/>
      <c r="CV139" s="691"/>
      <c r="CW139" s="691"/>
      <c r="CX139" s="691"/>
      <c r="CY139" s="691"/>
      <c r="CZ139" s="691"/>
      <c r="DA139" s="691"/>
      <c r="DB139" s="691"/>
      <c r="DC139" s="691"/>
      <c r="DD139" s="691"/>
      <c r="DE139" s="691"/>
      <c r="DF139" s="691"/>
      <c r="DG139" s="691"/>
      <c r="DH139" s="691"/>
      <c r="DI139" s="691"/>
      <c r="DJ139" s="691"/>
      <c r="DK139" s="691"/>
      <c r="DL139" s="691"/>
      <c r="DM139" s="691"/>
      <c r="DN139" s="691"/>
      <c r="DO139" s="691"/>
      <c r="DP139" s="691"/>
      <c r="DQ139" s="691"/>
      <c r="DR139" s="691"/>
      <c r="DS139" s="691"/>
      <c r="DT139" s="691"/>
      <c r="DU139" s="691"/>
      <c r="DV139" s="691"/>
      <c r="DW139" s="691"/>
      <c r="DX139" s="691"/>
      <c r="DY139" s="691"/>
      <c r="DZ139" s="691"/>
      <c r="EA139" s="691"/>
      <c r="EB139" s="691"/>
      <c r="EC139" s="691"/>
      <c r="ED139" s="691"/>
      <c r="EE139" s="691"/>
      <c r="EF139" s="691"/>
      <c r="EG139" s="691"/>
      <c r="EH139" s="691"/>
      <c r="EI139" s="691"/>
      <c r="EJ139" s="691"/>
      <c r="EK139" s="691"/>
      <c r="EL139" s="691"/>
      <c r="EM139" s="691"/>
      <c r="EN139" s="691"/>
      <c r="EO139" s="691"/>
      <c r="EP139" s="691"/>
      <c r="EQ139" s="691"/>
      <c r="ER139" s="691"/>
      <c r="ES139" s="691"/>
      <c r="ET139" s="691"/>
      <c r="EU139" s="691"/>
      <c r="EV139" s="691"/>
      <c r="EW139" s="691"/>
      <c r="EX139" s="691"/>
      <c r="EY139" s="691"/>
      <c r="EZ139" s="691"/>
      <c r="FA139" s="691"/>
      <c r="FB139" s="691"/>
      <c r="FC139" s="691"/>
      <c r="FD139" s="691"/>
      <c r="FE139" s="691"/>
      <c r="FF139" s="691"/>
      <c r="FG139" s="691"/>
      <c r="FH139" s="691"/>
      <c r="FI139" s="691"/>
      <c r="FJ139" s="691"/>
      <c r="FK139" s="691"/>
      <c r="FL139" s="691"/>
      <c r="FM139" s="691"/>
      <c r="FN139" s="691"/>
      <c r="FO139" s="691"/>
      <c r="FP139" s="691"/>
      <c r="FQ139" s="691"/>
      <c r="FR139" s="691"/>
      <c r="FS139" s="691"/>
      <c r="FT139" s="691"/>
      <c r="FU139" s="691"/>
      <c r="FV139" s="691"/>
      <c r="FW139" s="691"/>
      <c r="FX139" s="691"/>
      <c r="FY139" s="691"/>
      <c r="FZ139" s="691"/>
      <c r="GA139" s="691"/>
      <c r="GB139" s="691"/>
      <c r="GC139" s="691"/>
      <c r="GD139" s="691"/>
      <c r="GE139" s="691"/>
      <c r="GF139" s="691"/>
      <c r="GG139" s="691"/>
      <c r="GH139" s="691"/>
      <c r="GI139" s="691"/>
      <c r="GJ139" s="691"/>
      <c r="GK139" s="691"/>
      <c r="GL139" s="691"/>
      <c r="GM139" s="691"/>
      <c r="GN139" s="691"/>
      <c r="GO139" s="691"/>
      <c r="GP139" s="691"/>
      <c r="GQ139" s="691"/>
      <c r="GR139" s="691"/>
      <c r="GS139" s="691"/>
      <c r="GT139" s="691"/>
      <c r="GU139" s="691"/>
      <c r="GV139" s="691"/>
      <c r="GW139" s="691"/>
      <c r="GX139" s="691"/>
      <c r="GY139" s="691"/>
      <c r="GZ139" s="691"/>
      <c r="HA139" s="691"/>
      <c r="HB139" s="691"/>
      <c r="HC139" s="691"/>
      <c r="HD139" s="691"/>
      <c r="HE139" s="691"/>
      <c r="HF139" s="691"/>
      <c r="HG139" s="691"/>
      <c r="HH139" s="691"/>
      <c r="HI139" s="691"/>
      <c r="HJ139" s="691"/>
      <c r="HK139" s="691"/>
      <c r="HL139" s="691"/>
      <c r="HM139" s="691"/>
      <c r="HN139" s="691"/>
      <c r="HO139" s="691"/>
      <c r="HP139" s="691"/>
      <c r="HQ139" s="691"/>
      <c r="HR139" s="691"/>
      <c r="HS139" s="691"/>
      <c r="HT139" s="691"/>
      <c r="HU139" s="691"/>
      <c r="HV139" s="691"/>
      <c r="HW139" s="691"/>
      <c r="HX139" s="691"/>
      <c r="HY139" s="691"/>
      <c r="HZ139" s="691"/>
      <c r="IA139" s="691"/>
      <c r="IB139" s="691"/>
      <c r="IC139" s="691"/>
      <c r="ID139" s="691"/>
      <c r="IE139" s="691"/>
      <c r="IF139" s="691"/>
      <c r="IG139" s="691"/>
      <c r="IH139" s="691"/>
      <c r="II139" s="691"/>
      <c r="IJ139" s="691"/>
      <c r="IK139" s="691"/>
      <c r="IL139" s="691"/>
      <c r="IM139" s="691"/>
      <c r="IN139" s="691"/>
      <c r="IO139" s="691"/>
      <c r="IP139" s="691"/>
    </row>
    <row r="140" spans="1:250" s="692" customFormat="1" ht="15.75">
      <c r="B140" s="706"/>
      <c r="C140" s="24" t="s">
        <v>268</v>
      </c>
      <c r="D140" s="86"/>
      <c r="E140" s="45">
        <v>1</v>
      </c>
      <c r="F140" s="45">
        <v>0.25</v>
      </c>
      <c r="G140" s="45">
        <v>6.25E-2</v>
      </c>
      <c r="H140" s="45">
        <v>1.5</v>
      </c>
      <c r="I140" s="130" t="s">
        <v>8</v>
      </c>
      <c r="J140" s="130" t="s">
        <v>8</v>
      </c>
      <c r="K140" s="130" t="s">
        <v>8</v>
      </c>
      <c r="L140" s="130" t="s">
        <v>8</v>
      </c>
      <c r="M140" s="130" t="s">
        <v>8</v>
      </c>
      <c r="N140" s="130" t="s">
        <v>8</v>
      </c>
      <c r="O140" s="41"/>
      <c r="P140" s="41"/>
      <c r="Q140" s="41"/>
      <c r="R140" s="41"/>
      <c r="S140" s="41"/>
      <c r="T140" s="41"/>
      <c r="U140" s="41"/>
      <c r="V140" s="691"/>
      <c r="W140" s="691"/>
      <c r="X140" s="691"/>
      <c r="Y140" s="691"/>
      <c r="Z140" s="691"/>
      <c r="AA140" s="691"/>
      <c r="AB140" s="691"/>
      <c r="AC140" s="691"/>
      <c r="AD140" s="691"/>
      <c r="AE140" s="691"/>
      <c r="AF140" s="691"/>
      <c r="AG140" s="691"/>
      <c r="AH140" s="691"/>
      <c r="AI140" s="691"/>
      <c r="AJ140" s="691"/>
      <c r="AK140" s="691"/>
      <c r="AL140" s="691"/>
      <c r="AM140" s="691"/>
      <c r="AN140" s="691"/>
      <c r="AO140" s="691"/>
      <c r="AP140" s="691"/>
      <c r="AQ140" s="691"/>
      <c r="AR140" s="691"/>
      <c r="AS140" s="691"/>
      <c r="AT140" s="691"/>
      <c r="AU140" s="691"/>
      <c r="AV140" s="691"/>
      <c r="AW140" s="691"/>
      <c r="AX140" s="691"/>
      <c r="AY140" s="691"/>
      <c r="AZ140" s="691"/>
      <c r="BA140" s="691"/>
      <c r="BB140" s="691"/>
      <c r="BC140" s="691"/>
      <c r="BD140" s="691"/>
      <c r="BE140" s="691"/>
      <c r="BF140" s="691"/>
      <c r="BG140" s="691"/>
      <c r="BH140" s="691"/>
      <c r="BI140" s="691"/>
      <c r="BJ140" s="691"/>
      <c r="BK140" s="691"/>
      <c r="BL140" s="691"/>
      <c r="BM140" s="691"/>
      <c r="BN140" s="691"/>
      <c r="BO140" s="691"/>
      <c r="BP140" s="691"/>
      <c r="BQ140" s="691"/>
      <c r="BR140" s="691"/>
      <c r="BS140" s="691"/>
      <c r="BT140" s="691"/>
      <c r="BU140" s="691"/>
      <c r="BV140" s="691"/>
      <c r="BW140" s="691"/>
      <c r="BX140" s="691"/>
      <c r="BY140" s="691"/>
      <c r="BZ140" s="691"/>
      <c r="CA140" s="691"/>
      <c r="CB140" s="691"/>
      <c r="CC140" s="691"/>
      <c r="CD140" s="691"/>
      <c r="CE140" s="691"/>
      <c r="CF140" s="691"/>
      <c r="CG140" s="691"/>
      <c r="CH140" s="691"/>
      <c r="CI140" s="691"/>
      <c r="CJ140" s="691"/>
      <c r="CK140" s="691"/>
      <c r="CL140" s="691"/>
      <c r="CM140" s="691"/>
      <c r="CN140" s="691"/>
      <c r="CO140" s="691"/>
      <c r="CP140" s="691"/>
      <c r="CQ140" s="691"/>
      <c r="CR140" s="691"/>
      <c r="CS140" s="691"/>
      <c r="CT140" s="691"/>
      <c r="CU140" s="691"/>
      <c r="CV140" s="691"/>
      <c r="CW140" s="691"/>
      <c r="CX140" s="691"/>
      <c r="CY140" s="691"/>
      <c r="CZ140" s="691"/>
      <c r="DA140" s="691"/>
      <c r="DB140" s="691"/>
      <c r="DC140" s="691"/>
      <c r="DD140" s="691"/>
      <c r="DE140" s="691"/>
      <c r="DF140" s="691"/>
      <c r="DG140" s="691"/>
      <c r="DH140" s="691"/>
      <c r="DI140" s="691"/>
      <c r="DJ140" s="691"/>
      <c r="DK140" s="691"/>
      <c r="DL140" s="691"/>
      <c r="DM140" s="691"/>
      <c r="DN140" s="691"/>
      <c r="DO140" s="691"/>
      <c r="DP140" s="691"/>
      <c r="DQ140" s="691"/>
      <c r="DR140" s="691"/>
      <c r="DS140" s="691"/>
      <c r="DT140" s="691"/>
      <c r="DU140" s="691"/>
      <c r="DV140" s="691"/>
      <c r="DW140" s="691"/>
      <c r="DX140" s="691"/>
      <c r="DY140" s="691"/>
      <c r="DZ140" s="691"/>
      <c r="EA140" s="691"/>
      <c r="EB140" s="691"/>
      <c r="EC140" s="691"/>
      <c r="ED140" s="691"/>
      <c r="EE140" s="691"/>
      <c r="EF140" s="691"/>
      <c r="EG140" s="691"/>
      <c r="EH140" s="691"/>
      <c r="EI140" s="691"/>
      <c r="EJ140" s="691"/>
      <c r="EK140" s="691"/>
      <c r="EL140" s="691"/>
      <c r="EM140" s="691"/>
      <c r="EN140" s="691"/>
      <c r="EO140" s="691"/>
      <c r="EP140" s="691"/>
      <c r="EQ140" s="691"/>
      <c r="ER140" s="691"/>
      <c r="ES140" s="691"/>
      <c r="ET140" s="691"/>
      <c r="EU140" s="691"/>
      <c r="EV140" s="691"/>
      <c r="EW140" s="691"/>
      <c r="EX140" s="691"/>
      <c r="EY140" s="691"/>
      <c r="EZ140" s="691"/>
      <c r="FA140" s="691"/>
      <c r="FB140" s="691"/>
      <c r="FC140" s="691"/>
      <c r="FD140" s="691"/>
      <c r="FE140" s="691"/>
      <c r="FF140" s="691"/>
      <c r="FG140" s="691"/>
      <c r="FH140" s="691"/>
      <c r="FI140" s="691"/>
      <c r="FJ140" s="691"/>
      <c r="FK140" s="691"/>
      <c r="FL140" s="691"/>
      <c r="FM140" s="691"/>
      <c r="FN140" s="691"/>
      <c r="FO140" s="691"/>
      <c r="FP140" s="691"/>
      <c r="FQ140" s="691"/>
      <c r="FR140" s="691"/>
      <c r="FS140" s="691"/>
      <c r="FT140" s="691"/>
      <c r="FU140" s="691"/>
      <c r="FV140" s="691"/>
      <c r="FW140" s="691"/>
      <c r="FX140" s="691"/>
      <c r="FY140" s="691"/>
      <c r="FZ140" s="691"/>
      <c r="GA140" s="691"/>
      <c r="GB140" s="691"/>
      <c r="GC140" s="691"/>
      <c r="GD140" s="691"/>
      <c r="GE140" s="691"/>
      <c r="GF140" s="691"/>
      <c r="GG140" s="691"/>
      <c r="GH140" s="691"/>
      <c r="GI140" s="691"/>
      <c r="GJ140" s="691"/>
      <c r="GK140" s="691"/>
      <c r="GL140" s="691"/>
      <c r="GM140" s="691"/>
      <c r="GN140" s="691"/>
      <c r="GO140" s="691"/>
      <c r="GP140" s="691"/>
      <c r="GQ140" s="691"/>
      <c r="GR140" s="691"/>
      <c r="GS140" s="691"/>
      <c r="GT140" s="691"/>
      <c r="GU140" s="691"/>
      <c r="GV140" s="691"/>
      <c r="GW140" s="691"/>
      <c r="GX140" s="691"/>
      <c r="GY140" s="691"/>
      <c r="GZ140" s="691"/>
      <c r="HA140" s="691"/>
      <c r="HB140" s="691"/>
      <c r="HC140" s="691"/>
      <c r="HD140" s="691"/>
      <c r="HE140" s="691"/>
      <c r="HF140" s="691"/>
      <c r="HG140" s="691"/>
      <c r="HH140" s="691"/>
      <c r="HI140" s="691"/>
      <c r="HJ140" s="691"/>
      <c r="HK140" s="691"/>
      <c r="HL140" s="691"/>
      <c r="HM140" s="691"/>
      <c r="HN140" s="691"/>
      <c r="HO140" s="691"/>
      <c r="HP140" s="691"/>
      <c r="HQ140" s="691"/>
      <c r="HR140" s="691"/>
      <c r="HS140" s="691"/>
      <c r="HT140" s="691"/>
      <c r="HU140" s="691"/>
      <c r="HV140" s="691"/>
      <c r="HW140" s="691"/>
      <c r="HX140" s="691"/>
      <c r="HY140" s="691"/>
      <c r="HZ140" s="691"/>
      <c r="IA140" s="691"/>
      <c r="IB140" s="691"/>
      <c r="IC140" s="691"/>
      <c r="ID140" s="691"/>
      <c r="IE140" s="691"/>
      <c r="IF140" s="691"/>
      <c r="IG140" s="691"/>
      <c r="IH140" s="691"/>
      <c r="II140" s="691"/>
      <c r="IJ140" s="691"/>
      <c r="IK140" s="691"/>
      <c r="IL140" s="691"/>
      <c r="IM140" s="691"/>
      <c r="IN140" s="691"/>
      <c r="IO140" s="691"/>
      <c r="IP140" s="691"/>
    </row>
    <row r="141" spans="1:250" s="692" customFormat="1" ht="15.75">
      <c r="B141" s="706"/>
      <c r="C141" s="24" t="s">
        <v>269</v>
      </c>
      <c r="D141" s="86"/>
      <c r="E141" s="45">
        <v>1</v>
      </c>
      <c r="F141" s="45">
        <v>0.25</v>
      </c>
      <c r="G141" s="45">
        <v>6.25E-2</v>
      </c>
      <c r="H141" s="45">
        <v>1.5</v>
      </c>
      <c r="I141" s="130" t="s">
        <v>8</v>
      </c>
      <c r="J141" s="130" t="s">
        <v>8</v>
      </c>
      <c r="K141" s="130" t="s">
        <v>8</v>
      </c>
      <c r="L141" s="130" t="s">
        <v>8</v>
      </c>
      <c r="M141" s="130" t="s">
        <v>8</v>
      </c>
      <c r="N141" s="130" t="s">
        <v>8</v>
      </c>
      <c r="O141" s="41"/>
      <c r="P141" s="41"/>
      <c r="Q141" s="41"/>
      <c r="R141" s="41"/>
      <c r="S141" s="41"/>
      <c r="T141" s="41"/>
      <c r="U141" s="41"/>
      <c r="V141" s="691"/>
      <c r="W141" s="691"/>
      <c r="X141" s="691"/>
      <c r="Y141" s="691"/>
      <c r="Z141" s="691"/>
      <c r="AA141" s="691"/>
      <c r="AB141" s="691"/>
      <c r="AC141" s="691"/>
      <c r="AD141" s="691"/>
      <c r="AE141" s="691"/>
      <c r="AF141" s="691"/>
      <c r="AG141" s="691"/>
      <c r="AH141" s="691"/>
      <c r="AI141" s="691"/>
      <c r="AJ141" s="691"/>
      <c r="AK141" s="691"/>
      <c r="AL141" s="691"/>
      <c r="AM141" s="691"/>
      <c r="AN141" s="691"/>
      <c r="AO141" s="691"/>
      <c r="AP141" s="691"/>
      <c r="AQ141" s="691"/>
      <c r="AR141" s="691"/>
      <c r="AS141" s="691"/>
      <c r="AT141" s="691"/>
      <c r="AU141" s="691"/>
      <c r="AV141" s="691"/>
      <c r="AW141" s="691"/>
      <c r="AX141" s="691"/>
      <c r="AY141" s="691"/>
      <c r="AZ141" s="691"/>
      <c r="BA141" s="691"/>
      <c r="BB141" s="691"/>
      <c r="BC141" s="691"/>
      <c r="BD141" s="691"/>
      <c r="BE141" s="691"/>
      <c r="BF141" s="691"/>
      <c r="BG141" s="691"/>
      <c r="BH141" s="691"/>
      <c r="BI141" s="691"/>
      <c r="BJ141" s="691"/>
      <c r="BK141" s="691"/>
      <c r="BL141" s="691"/>
      <c r="BM141" s="691"/>
      <c r="BN141" s="691"/>
      <c r="BO141" s="691"/>
      <c r="BP141" s="691"/>
      <c r="BQ141" s="691"/>
      <c r="BR141" s="691"/>
      <c r="BS141" s="691"/>
      <c r="BT141" s="691"/>
      <c r="BU141" s="691"/>
      <c r="BV141" s="691"/>
      <c r="BW141" s="691"/>
      <c r="BX141" s="691"/>
      <c r="BY141" s="691"/>
      <c r="BZ141" s="691"/>
      <c r="CA141" s="691"/>
      <c r="CB141" s="691"/>
      <c r="CC141" s="691"/>
      <c r="CD141" s="691"/>
      <c r="CE141" s="691"/>
      <c r="CF141" s="691"/>
      <c r="CG141" s="691"/>
      <c r="CH141" s="691"/>
      <c r="CI141" s="691"/>
      <c r="CJ141" s="691"/>
      <c r="CK141" s="691"/>
      <c r="CL141" s="691"/>
      <c r="CM141" s="691"/>
      <c r="CN141" s="691"/>
      <c r="CO141" s="691"/>
      <c r="CP141" s="691"/>
      <c r="CQ141" s="691"/>
      <c r="CR141" s="691"/>
      <c r="CS141" s="691"/>
      <c r="CT141" s="691"/>
      <c r="CU141" s="691"/>
      <c r="CV141" s="691"/>
      <c r="CW141" s="691"/>
      <c r="CX141" s="691"/>
      <c r="CY141" s="691"/>
      <c r="CZ141" s="691"/>
      <c r="DA141" s="691"/>
      <c r="DB141" s="691"/>
      <c r="DC141" s="691"/>
      <c r="DD141" s="691"/>
      <c r="DE141" s="691"/>
      <c r="DF141" s="691"/>
      <c r="DG141" s="691"/>
      <c r="DH141" s="691"/>
      <c r="DI141" s="691"/>
      <c r="DJ141" s="691"/>
      <c r="DK141" s="691"/>
      <c r="DL141" s="691"/>
      <c r="DM141" s="691"/>
      <c r="DN141" s="691"/>
      <c r="DO141" s="691"/>
      <c r="DP141" s="691"/>
      <c r="DQ141" s="691"/>
      <c r="DR141" s="691"/>
      <c r="DS141" s="691"/>
      <c r="DT141" s="691"/>
      <c r="DU141" s="691"/>
      <c r="DV141" s="691"/>
      <c r="DW141" s="691"/>
      <c r="DX141" s="691"/>
      <c r="DY141" s="691"/>
      <c r="DZ141" s="691"/>
      <c r="EA141" s="691"/>
      <c r="EB141" s="691"/>
      <c r="EC141" s="691"/>
      <c r="ED141" s="691"/>
      <c r="EE141" s="691"/>
      <c r="EF141" s="691"/>
      <c r="EG141" s="691"/>
      <c r="EH141" s="691"/>
      <c r="EI141" s="691"/>
      <c r="EJ141" s="691"/>
      <c r="EK141" s="691"/>
      <c r="EL141" s="691"/>
      <c r="EM141" s="691"/>
      <c r="EN141" s="691"/>
      <c r="EO141" s="691"/>
      <c r="EP141" s="691"/>
      <c r="EQ141" s="691"/>
      <c r="ER141" s="691"/>
      <c r="ES141" s="691"/>
      <c r="ET141" s="691"/>
      <c r="EU141" s="691"/>
      <c r="EV141" s="691"/>
      <c r="EW141" s="691"/>
      <c r="EX141" s="691"/>
      <c r="EY141" s="691"/>
      <c r="EZ141" s="691"/>
      <c r="FA141" s="691"/>
      <c r="FB141" s="691"/>
      <c r="FC141" s="691"/>
      <c r="FD141" s="691"/>
      <c r="FE141" s="691"/>
      <c r="FF141" s="691"/>
      <c r="FG141" s="691"/>
      <c r="FH141" s="691"/>
      <c r="FI141" s="691"/>
      <c r="FJ141" s="691"/>
      <c r="FK141" s="691"/>
      <c r="FL141" s="691"/>
      <c r="FM141" s="691"/>
      <c r="FN141" s="691"/>
      <c r="FO141" s="691"/>
      <c r="FP141" s="691"/>
      <c r="FQ141" s="691"/>
      <c r="FR141" s="691"/>
      <c r="FS141" s="691"/>
      <c r="FT141" s="691"/>
      <c r="FU141" s="691"/>
      <c r="FV141" s="691"/>
      <c r="FW141" s="691"/>
      <c r="FX141" s="691"/>
      <c r="FY141" s="691"/>
      <c r="FZ141" s="691"/>
      <c r="GA141" s="691"/>
      <c r="GB141" s="691"/>
      <c r="GC141" s="691"/>
      <c r="GD141" s="691"/>
      <c r="GE141" s="691"/>
      <c r="GF141" s="691"/>
      <c r="GG141" s="691"/>
      <c r="GH141" s="691"/>
      <c r="GI141" s="691"/>
      <c r="GJ141" s="691"/>
      <c r="GK141" s="691"/>
      <c r="GL141" s="691"/>
      <c r="GM141" s="691"/>
      <c r="GN141" s="691"/>
      <c r="GO141" s="691"/>
      <c r="GP141" s="691"/>
      <c r="GQ141" s="691"/>
      <c r="GR141" s="691"/>
      <c r="GS141" s="691"/>
      <c r="GT141" s="691"/>
      <c r="GU141" s="691"/>
      <c r="GV141" s="691"/>
      <c r="GW141" s="691"/>
      <c r="GX141" s="691"/>
      <c r="GY141" s="691"/>
      <c r="GZ141" s="691"/>
      <c r="HA141" s="691"/>
      <c r="HB141" s="691"/>
      <c r="HC141" s="691"/>
      <c r="HD141" s="691"/>
      <c r="HE141" s="691"/>
      <c r="HF141" s="691"/>
      <c r="HG141" s="691"/>
      <c r="HH141" s="691"/>
      <c r="HI141" s="691"/>
      <c r="HJ141" s="691"/>
      <c r="HK141" s="691"/>
      <c r="HL141" s="691"/>
      <c r="HM141" s="691"/>
      <c r="HN141" s="691"/>
      <c r="HO141" s="691"/>
      <c r="HP141" s="691"/>
      <c r="HQ141" s="691"/>
      <c r="HR141" s="691"/>
      <c r="HS141" s="691"/>
      <c r="HT141" s="691"/>
      <c r="HU141" s="691"/>
      <c r="HV141" s="691"/>
      <c r="HW141" s="691"/>
      <c r="HX141" s="691"/>
      <c r="HY141" s="691"/>
      <c r="HZ141" s="691"/>
      <c r="IA141" s="691"/>
      <c r="IB141" s="691"/>
      <c r="IC141" s="691"/>
      <c r="ID141" s="691"/>
      <c r="IE141" s="691"/>
      <c r="IF141" s="691"/>
      <c r="IG141" s="691"/>
      <c r="IH141" s="691"/>
      <c r="II141" s="691"/>
      <c r="IJ141" s="691"/>
      <c r="IK141" s="691"/>
      <c r="IL141" s="691"/>
      <c r="IM141" s="691"/>
      <c r="IN141" s="691"/>
      <c r="IO141" s="691"/>
      <c r="IP141" s="691"/>
    </row>
    <row r="142" spans="1:250" s="692" customFormat="1" ht="15.75">
      <c r="B142" s="706"/>
      <c r="C142" s="24" t="s">
        <v>270</v>
      </c>
      <c r="D142" s="86"/>
      <c r="E142" s="45">
        <v>1</v>
      </c>
      <c r="F142" s="45">
        <v>1</v>
      </c>
      <c r="G142" s="45">
        <v>1.5</v>
      </c>
      <c r="H142" s="45">
        <v>3</v>
      </c>
      <c r="I142" s="45">
        <v>2</v>
      </c>
      <c r="J142" s="45">
        <v>1.5</v>
      </c>
      <c r="K142" s="130" t="s">
        <v>8</v>
      </c>
      <c r="L142" s="45">
        <v>4</v>
      </c>
      <c r="M142" s="45">
        <v>2.5</v>
      </c>
      <c r="N142" s="45">
        <v>2.5</v>
      </c>
      <c r="O142" s="41"/>
      <c r="P142" s="41"/>
      <c r="Q142" s="41"/>
      <c r="R142" s="41"/>
      <c r="S142" s="41"/>
      <c r="T142" s="41"/>
      <c r="U142" s="41"/>
      <c r="V142" s="691"/>
      <c r="W142" s="691"/>
      <c r="X142" s="691"/>
      <c r="Y142" s="691"/>
      <c r="Z142" s="691"/>
      <c r="AA142" s="691"/>
      <c r="AB142" s="691"/>
      <c r="AC142" s="691"/>
      <c r="AD142" s="691"/>
      <c r="AE142" s="691"/>
      <c r="AF142" s="691"/>
      <c r="AG142" s="691"/>
      <c r="AH142" s="691"/>
      <c r="AI142" s="691"/>
      <c r="AJ142" s="691"/>
      <c r="AK142" s="691"/>
      <c r="AL142" s="691"/>
      <c r="AM142" s="691"/>
      <c r="AN142" s="691"/>
      <c r="AO142" s="691"/>
      <c r="AP142" s="691"/>
      <c r="AQ142" s="691"/>
      <c r="AR142" s="691"/>
      <c r="AS142" s="691"/>
      <c r="AT142" s="691"/>
      <c r="AU142" s="691"/>
      <c r="AV142" s="691"/>
      <c r="AW142" s="691"/>
      <c r="AX142" s="691"/>
      <c r="AY142" s="691"/>
      <c r="AZ142" s="691"/>
      <c r="BA142" s="691"/>
      <c r="BB142" s="691"/>
      <c r="BC142" s="691"/>
      <c r="BD142" s="691"/>
      <c r="BE142" s="691"/>
      <c r="BF142" s="691"/>
      <c r="BG142" s="691"/>
      <c r="BH142" s="691"/>
      <c r="BI142" s="691"/>
      <c r="BJ142" s="691"/>
      <c r="BK142" s="691"/>
      <c r="BL142" s="691"/>
      <c r="BM142" s="691"/>
      <c r="BN142" s="691"/>
      <c r="BO142" s="691"/>
      <c r="BP142" s="691"/>
      <c r="BQ142" s="691"/>
      <c r="BR142" s="691"/>
      <c r="BS142" s="691"/>
      <c r="BT142" s="691"/>
      <c r="BU142" s="691"/>
      <c r="BV142" s="691"/>
      <c r="BW142" s="691"/>
      <c r="BX142" s="691"/>
      <c r="BY142" s="691"/>
      <c r="BZ142" s="691"/>
      <c r="CA142" s="691"/>
      <c r="CB142" s="691"/>
      <c r="CC142" s="691"/>
      <c r="CD142" s="691"/>
      <c r="CE142" s="691"/>
      <c r="CF142" s="691"/>
      <c r="CG142" s="691"/>
      <c r="CH142" s="691"/>
      <c r="CI142" s="691"/>
      <c r="CJ142" s="691"/>
      <c r="CK142" s="691"/>
      <c r="CL142" s="691"/>
      <c r="CM142" s="691"/>
      <c r="CN142" s="691"/>
      <c r="CO142" s="691"/>
      <c r="CP142" s="691"/>
      <c r="CQ142" s="691"/>
      <c r="CR142" s="691"/>
      <c r="CS142" s="691"/>
      <c r="CT142" s="691"/>
      <c r="CU142" s="691"/>
      <c r="CV142" s="691"/>
      <c r="CW142" s="691"/>
      <c r="CX142" s="691"/>
      <c r="CY142" s="691"/>
      <c r="CZ142" s="691"/>
      <c r="DA142" s="691"/>
      <c r="DB142" s="691"/>
      <c r="DC142" s="691"/>
      <c r="DD142" s="691"/>
      <c r="DE142" s="691"/>
      <c r="DF142" s="691"/>
      <c r="DG142" s="691"/>
      <c r="DH142" s="691"/>
      <c r="DI142" s="691"/>
      <c r="DJ142" s="691"/>
      <c r="DK142" s="691"/>
      <c r="DL142" s="691"/>
      <c r="DM142" s="691"/>
      <c r="DN142" s="691"/>
      <c r="DO142" s="691"/>
      <c r="DP142" s="691"/>
      <c r="DQ142" s="691"/>
      <c r="DR142" s="691"/>
      <c r="DS142" s="691"/>
      <c r="DT142" s="691"/>
      <c r="DU142" s="691"/>
      <c r="DV142" s="691"/>
      <c r="DW142" s="691"/>
      <c r="DX142" s="691"/>
      <c r="DY142" s="691"/>
      <c r="DZ142" s="691"/>
      <c r="EA142" s="691"/>
      <c r="EB142" s="691"/>
      <c r="EC142" s="691"/>
      <c r="ED142" s="691"/>
      <c r="EE142" s="691"/>
      <c r="EF142" s="691"/>
      <c r="EG142" s="691"/>
      <c r="EH142" s="691"/>
      <c r="EI142" s="691"/>
      <c r="EJ142" s="691"/>
      <c r="EK142" s="691"/>
      <c r="EL142" s="691"/>
      <c r="EM142" s="691"/>
      <c r="EN142" s="691"/>
      <c r="EO142" s="691"/>
      <c r="EP142" s="691"/>
      <c r="EQ142" s="691"/>
      <c r="ER142" s="691"/>
      <c r="ES142" s="691"/>
      <c r="ET142" s="691"/>
      <c r="EU142" s="691"/>
      <c r="EV142" s="691"/>
      <c r="EW142" s="691"/>
      <c r="EX142" s="691"/>
      <c r="EY142" s="691"/>
      <c r="EZ142" s="691"/>
      <c r="FA142" s="691"/>
      <c r="FB142" s="691"/>
      <c r="FC142" s="691"/>
      <c r="FD142" s="691"/>
      <c r="FE142" s="691"/>
      <c r="FF142" s="691"/>
      <c r="FG142" s="691"/>
      <c r="FH142" s="691"/>
      <c r="FI142" s="691"/>
      <c r="FJ142" s="691"/>
      <c r="FK142" s="691"/>
      <c r="FL142" s="691"/>
      <c r="FM142" s="691"/>
      <c r="FN142" s="691"/>
      <c r="FO142" s="691"/>
      <c r="FP142" s="691"/>
      <c r="FQ142" s="691"/>
      <c r="FR142" s="691"/>
      <c r="FS142" s="691"/>
      <c r="FT142" s="691"/>
      <c r="FU142" s="691"/>
      <c r="FV142" s="691"/>
      <c r="FW142" s="691"/>
      <c r="FX142" s="691"/>
      <c r="FY142" s="691"/>
      <c r="FZ142" s="691"/>
      <c r="GA142" s="691"/>
      <c r="GB142" s="691"/>
      <c r="GC142" s="691"/>
      <c r="GD142" s="691"/>
      <c r="GE142" s="691"/>
      <c r="GF142" s="691"/>
      <c r="GG142" s="691"/>
      <c r="GH142" s="691"/>
      <c r="GI142" s="691"/>
      <c r="GJ142" s="691"/>
      <c r="GK142" s="691"/>
      <c r="GL142" s="691"/>
      <c r="GM142" s="691"/>
      <c r="GN142" s="691"/>
      <c r="GO142" s="691"/>
      <c r="GP142" s="691"/>
      <c r="GQ142" s="691"/>
      <c r="GR142" s="691"/>
      <c r="GS142" s="691"/>
      <c r="GT142" s="691"/>
      <c r="GU142" s="691"/>
      <c r="GV142" s="691"/>
      <c r="GW142" s="691"/>
      <c r="GX142" s="691"/>
      <c r="GY142" s="691"/>
      <c r="GZ142" s="691"/>
      <c r="HA142" s="691"/>
      <c r="HB142" s="691"/>
      <c r="HC142" s="691"/>
      <c r="HD142" s="691"/>
      <c r="HE142" s="691"/>
      <c r="HF142" s="691"/>
      <c r="HG142" s="691"/>
      <c r="HH142" s="691"/>
      <c r="HI142" s="691"/>
      <c r="HJ142" s="691"/>
      <c r="HK142" s="691"/>
      <c r="HL142" s="691"/>
      <c r="HM142" s="691"/>
      <c r="HN142" s="691"/>
      <c r="HO142" s="691"/>
      <c r="HP142" s="691"/>
      <c r="HQ142" s="691"/>
      <c r="HR142" s="691"/>
      <c r="HS142" s="691"/>
      <c r="HT142" s="691"/>
      <c r="HU142" s="691"/>
      <c r="HV142" s="691"/>
      <c r="HW142" s="691"/>
      <c r="HX142" s="691"/>
      <c r="HY142" s="691"/>
      <c r="HZ142" s="691"/>
      <c r="IA142" s="691"/>
      <c r="IB142" s="691"/>
      <c r="IC142" s="691"/>
      <c r="ID142" s="691"/>
      <c r="IE142" s="691"/>
      <c r="IF142" s="691"/>
      <c r="IG142" s="691"/>
      <c r="IH142" s="691"/>
      <c r="II142" s="691"/>
      <c r="IJ142" s="691"/>
      <c r="IK142" s="691"/>
      <c r="IL142" s="691"/>
      <c r="IM142" s="691"/>
      <c r="IN142" s="691"/>
      <c r="IO142" s="691"/>
      <c r="IP142" s="691"/>
    </row>
    <row r="143" spans="1:250" s="692" customFormat="1" ht="15.75">
      <c r="B143" s="706"/>
      <c r="C143" s="24" t="s">
        <v>271</v>
      </c>
      <c r="D143" s="86"/>
      <c r="E143" s="45">
        <v>1</v>
      </c>
      <c r="F143" s="45">
        <v>0.25</v>
      </c>
      <c r="G143" s="45">
        <v>6.25E-2</v>
      </c>
      <c r="H143" s="45">
        <v>1.5</v>
      </c>
      <c r="I143" s="45">
        <v>0.5</v>
      </c>
      <c r="J143" s="45">
        <v>0.75</v>
      </c>
      <c r="K143" s="131">
        <v>1.5</v>
      </c>
      <c r="L143" s="45">
        <v>1</v>
      </c>
      <c r="M143" s="45">
        <v>1.5</v>
      </c>
      <c r="N143" s="45">
        <v>1.5</v>
      </c>
      <c r="O143" s="41"/>
      <c r="P143" s="41"/>
      <c r="Q143" s="41"/>
      <c r="R143" s="41"/>
      <c r="S143" s="41"/>
      <c r="T143" s="41"/>
      <c r="U143" s="41"/>
      <c r="V143" s="691"/>
      <c r="W143" s="691"/>
      <c r="X143" s="691"/>
      <c r="Y143" s="691"/>
      <c r="Z143" s="691"/>
      <c r="AA143" s="691"/>
      <c r="AB143" s="691"/>
      <c r="AC143" s="691"/>
      <c r="AD143" s="691"/>
      <c r="AE143" s="691"/>
      <c r="AF143" s="691"/>
      <c r="AG143" s="691"/>
      <c r="AH143" s="691"/>
      <c r="AI143" s="691"/>
      <c r="AJ143" s="691"/>
      <c r="AK143" s="691"/>
      <c r="AL143" s="691"/>
      <c r="AM143" s="691"/>
      <c r="AN143" s="691"/>
      <c r="AO143" s="691"/>
      <c r="AP143" s="691"/>
      <c r="AQ143" s="691"/>
      <c r="AR143" s="691"/>
      <c r="AS143" s="691"/>
      <c r="AT143" s="691"/>
      <c r="AU143" s="691"/>
      <c r="AV143" s="691"/>
      <c r="AW143" s="691"/>
      <c r="AX143" s="691"/>
      <c r="AY143" s="691"/>
      <c r="AZ143" s="691"/>
      <c r="BA143" s="691"/>
      <c r="BB143" s="691"/>
      <c r="BC143" s="691"/>
      <c r="BD143" s="691"/>
      <c r="BE143" s="691"/>
      <c r="BF143" s="691"/>
      <c r="BG143" s="691"/>
      <c r="BH143" s="691"/>
      <c r="BI143" s="691"/>
      <c r="BJ143" s="691"/>
      <c r="BK143" s="691"/>
      <c r="BL143" s="691"/>
      <c r="BM143" s="691"/>
      <c r="BN143" s="691"/>
      <c r="BO143" s="691"/>
      <c r="BP143" s="691"/>
      <c r="BQ143" s="691"/>
      <c r="BR143" s="691"/>
      <c r="BS143" s="691"/>
      <c r="BT143" s="691"/>
      <c r="BU143" s="691"/>
      <c r="BV143" s="691"/>
      <c r="BW143" s="691"/>
      <c r="BX143" s="691"/>
      <c r="BY143" s="691"/>
      <c r="BZ143" s="691"/>
      <c r="CA143" s="691"/>
      <c r="CB143" s="691"/>
      <c r="CC143" s="691"/>
      <c r="CD143" s="691"/>
      <c r="CE143" s="691"/>
      <c r="CF143" s="691"/>
      <c r="CG143" s="691"/>
      <c r="CH143" s="691"/>
      <c r="CI143" s="691"/>
      <c r="CJ143" s="691"/>
      <c r="CK143" s="691"/>
      <c r="CL143" s="691"/>
      <c r="CM143" s="691"/>
      <c r="CN143" s="691"/>
      <c r="CO143" s="691"/>
      <c r="CP143" s="691"/>
      <c r="CQ143" s="691"/>
      <c r="CR143" s="691"/>
      <c r="CS143" s="691"/>
      <c r="CT143" s="691"/>
      <c r="CU143" s="691"/>
      <c r="CV143" s="691"/>
      <c r="CW143" s="691"/>
      <c r="CX143" s="691"/>
      <c r="CY143" s="691"/>
      <c r="CZ143" s="691"/>
      <c r="DA143" s="691"/>
      <c r="DB143" s="691"/>
      <c r="DC143" s="691"/>
      <c r="DD143" s="691"/>
      <c r="DE143" s="691"/>
      <c r="DF143" s="691"/>
      <c r="DG143" s="691"/>
      <c r="DH143" s="691"/>
      <c r="DI143" s="691"/>
      <c r="DJ143" s="691"/>
      <c r="DK143" s="691"/>
      <c r="DL143" s="691"/>
      <c r="DM143" s="691"/>
      <c r="DN143" s="691"/>
      <c r="DO143" s="691"/>
      <c r="DP143" s="691"/>
      <c r="DQ143" s="691"/>
      <c r="DR143" s="691"/>
      <c r="DS143" s="691"/>
      <c r="DT143" s="691"/>
      <c r="DU143" s="691"/>
      <c r="DV143" s="691"/>
      <c r="DW143" s="691"/>
      <c r="DX143" s="691"/>
      <c r="DY143" s="691"/>
      <c r="DZ143" s="691"/>
      <c r="EA143" s="691"/>
      <c r="EB143" s="691"/>
      <c r="EC143" s="691"/>
      <c r="ED143" s="691"/>
      <c r="EE143" s="691"/>
      <c r="EF143" s="691"/>
      <c r="EG143" s="691"/>
      <c r="EH143" s="691"/>
      <c r="EI143" s="691"/>
      <c r="EJ143" s="691"/>
      <c r="EK143" s="691"/>
      <c r="EL143" s="691"/>
      <c r="EM143" s="691"/>
      <c r="EN143" s="691"/>
      <c r="EO143" s="691"/>
      <c r="EP143" s="691"/>
      <c r="EQ143" s="691"/>
      <c r="ER143" s="691"/>
      <c r="ES143" s="691"/>
      <c r="ET143" s="691"/>
      <c r="EU143" s="691"/>
      <c r="EV143" s="691"/>
      <c r="EW143" s="691"/>
      <c r="EX143" s="691"/>
      <c r="EY143" s="691"/>
      <c r="EZ143" s="691"/>
      <c r="FA143" s="691"/>
      <c r="FB143" s="691"/>
      <c r="FC143" s="691"/>
      <c r="FD143" s="691"/>
      <c r="FE143" s="691"/>
      <c r="FF143" s="691"/>
      <c r="FG143" s="691"/>
      <c r="FH143" s="691"/>
      <c r="FI143" s="691"/>
      <c r="FJ143" s="691"/>
      <c r="FK143" s="691"/>
      <c r="FL143" s="691"/>
      <c r="FM143" s="691"/>
      <c r="FN143" s="691"/>
      <c r="FO143" s="691"/>
      <c r="FP143" s="691"/>
      <c r="FQ143" s="691"/>
      <c r="FR143" s="691"/>
      <c r="FS143" s="691"/>
      <c r="FT143" s="691"/>
      <c r="FU143" s="691"/>
      <c r="FV143" s="691"/>
      <c r="FW143" s="691"/>
      <c r="FX143" s="691"/>
      <c r="FY143" s="691"/>
      <c r="FZ143" s="691"/>
      <c r="GA143" s="691"/>
      <c r="GB143" s="691"/>
      <c r="GC143" s="691"/>
      <c r="GD143" s="691"/>
      <c r="GE143" s="691"/>
      <c r="GF143" s="691"/>
      <c r="GG143" s="691"/>
      <c r="GH143" s="691"/>
      <c r="GI143" s="691"/>
      <c r="GJ143" s="691"/>
      <c r="GK143" s="691"/>
      <c r="GL143" s="691"/>
      <c r="GM143" s="691"/>
      <c r="GN143" s="691"/>
      <c r="GO143" s="691"/>
      <c r="GP143" s="691"/>
      <c r="GQ143" s="691"/>
      <c r="GR143" s="691"/>
      <c r="GS143" s="691"/>
      <c r="GT143" s="691"/>
      <c r="GU143" s="691"/>
      <c r="GV143" s="691"/>
      <c r="GW143" s="691"/>
      <c r="GX143" s="691"/>
      <c r="GY143" s="691"/>
      <c r="GZ143" s="691"/>
      <c r="HA143" s="691"/>
      <c r="HB143" s="691"/>
      <c r="HC143" s="691"/>
      <c r="HD143" s="691"/>
      <c r="HE143" s="691"/>
      <c r="HF143" s="691"/>
      <c r="HG143" s="691"/>
      <c r="HH143" s="691"/>
      <c r="HI143" s="691"/>
      <c r="HJ143" s="691"/>
      <c r="HK143" s="691"/>
      <c r="HL143" s="691"/>
      <c r="HM143" s="691"/>
      <c r="HN143" s="691"/>
      <c r="HO143" s="691"/>
      <c r="HP143" s="691"/>
      <c r="HQ143" s="691"/>
      <c r="HR143" s="691"/>
      <c r="HS143" s="691"/>
      <c r="HT143" s="691"/>
      <c r="HU143" s="691"/>
      <c r="HV143" s="691"/>
      <c r="HW143" s="691"/>
      <c r="HX143" s="691"/>
      <c r="HY143" s="691"/>
      <c r="HZ143" s="691"/>
      <c r="IA143" s="691"/>
      <c r="IB143" s="691"/>
      <c r="IC143" s="691"/>
      <c r="ID143" s="691"/>
      <c r="IE143" s="691"/>
      <c r="IF143" s="691"/>
      <c r="IG143" s="691"/>
      <c r="IH143" s="691"/>
      <c r="II143" s="691"/>
      <c r="IJ143" s="691"/>
      <c r="IK143" s="691"/>
      <c r="IL143" s="691"/>
      <c r="IM143" s="691"/>
      <c r="IN143" s="691"/>
      <c r="IO143" s="691"/>
      <c r="IP143" s="691"/>
    </row>
    <row r="144" spans="1:250" s="692" customFormat="1" ht="15.75">
      <c r="B144" s="706"/>
      <c r="C144" s="24" t="s">
        <v>263</v>
      </c>
      <c r="D144" s="86"/>
      <c r="E144" s="45"/>
      <c r="F144" s="45"/>
      <c r="G144" s="45">
        <v>6.4000000000000003E-3</v>
      </c>
      <c r="H144" s="45"/>
      <c r="I144" s="45"/>
      <c r="J144" s="45"/>
      <c r="K144" s="130"/>
      <c r="L144" s="45"/>
      <c r="M144" s="45"/>
      <c r="N144" s="45"/>
      <c r="O144" s="41"/>
      <c r="P144" s="41"/>
      <c r="Q144" s="41"/>
      <c r="R144" s="41"/>
      <c r="S144" s="41"/>
      <c r="T144" s="41"/>
      <c r="U144" s="41"/>
      <c r="V144" s="691"/>
      <c r="W144" s="691"/>
      <c r="X144" s="691"/>
      <c r="Y144" s="691"/>
      <c r="Z144" s="691"/>
      <c r="AA144" s="691"/>
      <c r="AB144" s="691"/>
      <c r="AC144" s="691"/>
      <c r="AD144" s="691"/>
      <c r="AE144" s="691"/>
      <c r="AF144" s="691"/>
      <c r="AG144" s="691"/>
      <c r="AH144" s="691"/>
      <c r="AI144" s="691"/>
      <c r="AJ144" s="691"/>
      <c r="AK144" s="691"/>
      <c r="AL144" s="691"/>
      <c r="AM144" s="691"/>
      <c r="AN144" s="691"/>
      <c r="AO144" s="691"/>
      <c r="AP144" s="691"/>
      <c r="AQ144" s="691"/>
      <c r="AR144" s="691"/>
      <c r="AS144" s="691"/>
      <c r="AT144" s="691"/>
      <c r="AU144" s="691"/>
      <c r="AV144" s="691"/>
      <c r="AW144" s="691"/>
      <c r="AX144" s="691"/>
      <c r="AY144" s="691"/>
      <c r="AZ144" s="691"/>
      <c r="BA144" s="691"/>
      <c r="BB144" s="691"/>
      <c r="BC144" s="691"/>
      <c r="BD144" s="691"/>
      <c r="BE144" s="691"/>
      <c r="BF144" s="691"/>
      <c r="BG144" s="691"/>
      <c r="BH144" s="691"/>
      <c r="BI144" s="691"/>
      <c r="BJ144" s="691"/>
      <c r="BK144" s="691"/>
      <c r="BL144" s="691"/>
      <c r="BM144" s="691"/>
      <c r="BN144" s="691"/>
      <c r="BO144" s="691"/>
      <c r="BP144" s="691"/>
      <c r="BQ144" s="691"/>
      <c r="BR144" s="691"/>
      <c r="BS144" s="691"/>
      <c r="BT144" s="691"/>
      <c r="BU144" s="691"/>
      <c r="BV144" s="691"/>
      <c r="BW144" s="691"/>
      <c r="BX144" s="691"/>
      <c r="BY144" s="691"/>
      <c r="BZ144" s="691"/>
      <c r="CA144" s="691"/>
      <c r="CB144" s="691"/>
      <c r="CC144" s="691"/>
      <c r="CD144" s="691"/>
      <c r="CE144" s="691"/>
      <c r="CF144" s="691"/>
      <c r="CG144" s="691"/>
      <c r="CH144" s="691"/>
      <c r="CI144" s="691"/>
      <c r="CJ144" s="691"/>
      <c r="CK144" s="691"/>
      <c r="CL144" s="691"/>
      <c r="CM144" s="691"/>
      <c r="CN144" s="691"/>
      <c r="CO144" s="691"/>
      <c r="CP144" s="691"/>
      <c r="CQ144" s="691"/>
      <c r="CR144" s="691"/>
      <c r="CS144" s="691"/>
      <c r="CT144" s="691"/>
      <c r="CU144" s="691"/>
      <c r="CV144" s="691"/>
      <c r="CW144" s="691"/>
      <c r="CX144" s="691"/>
      <c r="CY144" s="691"/>
      <c r="CZ144" s="691"/>
      <c r="DA144" s="691"/>
      <c r="DB144" s="691"/>
      <c r="DC144" s="691"/>
      <c r="DD144" s="691"/>
      <c r="DE144" s="691"/>
      <c r="DF144" s="691"/>
      <c r="DG144" s="691"/>
      <c r="DH144" s="691"/>
      <c r="DI144" s="691"/>
      <c r="DJ144" s="691"/>
      <c r="DK144" s="691"/>
      <c r="DL144" s="691"/>
      <c r="DM144" s="691"/>
      <c r="DN144" s="691"/>
      <c r="DO144" s="691"/>
      <c r="DP144" s="691"/>
      <c r="DQ144" s="691"/>
      <c r="DR144" s="691"/>
      <c r="DS144" s="691"/>
      <c r="DT144" s="691"/>
      <c r="DU144" s="691"/>
      <c r="DV144" s="691"/>
      <c r="DW144" s="691"/>
      <c r="DX144" s="691"/>
      <c r="DY144" s="691"/>
      <c r="DZ144" s="691"/>
      <c r="EA144" s="691"/>
      <c r="EB144" s="691"/>
      <c r="EC144" s="691"/>
      <c r="ED144" s="691"/>
      <c r="EE144" s="691"/>
      <c r="EF144" s="691"/>
      <c r="EG144" s="691"/>
      <c r="EH144" s="691"/>
      <c r="EI144" s="691"/>
      <c r="EJ144" s="691"/>
      <c r="EK144" s="691"/>
      <c r="EL144" s="691"/>
      <c r="EM144" s="691"/>
      <c r="EN144" s="691"/>
      <c r="EO144" s="691"/>
      <c r="EP144" s="691"/>
      <c r="EQ144" s="691"/>
      <c r="ER144" s="691"/>
      <c r="ES144" s="691"/>
      <c r="ET144" s="691"/>
      <c r="EU144" s="691"/>
      <c r="EV144" s="691"/>
      <c r="EW144" s="691"/>
      <c r="EX144" s="691"/>
      <c r="EY144" s="691"/>
      <c r="EZ144" s="691"/>
      <c r="FA144" s="691"/>
      <c r="FB144" s="691"/>
      <c r="FC144" s="691"/>
      <c r="FD144" s="691"/>
      <c r="FE144" s="691"/>
      <c r="FF144" s="691"/>
      <c r="FG144" s="691"/>
      <c r="FH144" s="691"/>
      <c r="FI144" s="691"/>
      <c r="FJ144" s="691"/>
      <c r="FK144" s="691"/>
      <c r="FL144" s="691"/>
      <c r="FM144" s="691"/>
      <c r="FN144" s="691"/>
      <c r="FO144" s="691"/>
      <c r="FP144" s="691"/>
      <c r="FQ144" s="691"/>
      <c r="FR144" s="691"/>
      <c r="FS144" s="691"/>
      <c r="FT144" s="691"/>
      <c r="FU144" s="691"/>
      <c r="FV144" s="691"/>
      <c r="FW144" s="691"/>
      <c r="FX144" s="691"/>
      <c r="FY144" s="691"/>
      <c r="FZ144" s="691"/>
      <c r="GA144" s="691"/>
      <c r="GB144" s="691"/>
      <c r="GC144" s="691"/>
      <c r="GD144" s="691"/>
      <c r="GE144" s="691"/>
      <c r="GF144" s="691"/>
      <c r="GG144" s="691"/>
      <c r="GH144" s="691"/>
      <c r="GI144" s="691"/>
      <c r="GJ144" s="691"/>
      <c r="GK144" s="691"/>
      <c r="GL144" s="691"/>
      <c r="GM144" s="691"/>
      <c r="GN144" s="691"/>
      <c r="GO144" s="691"/>
      <c r="GP144" s="691"/>
      <c r="GQ144" s="691"/>
      <c r="GR144" s="691"/>
      <c r="GS144" s="691"/>
      <c r="GT144" s="691"/>
      <c r="GU144" s="691"/>
      <c r="GV144" s="691"/>
      <c r="GW144" s="691"/>
      <c r="GX144" s="691"/>
      <c r="GY144" s="691"/>
      <c r="GZ144" s="691"/>
      <c r="HA144" s="691"/>
      <c r="HB144" s="691"/>
      <c r="HC144" s="691"/>
      <c r="HD144" s="691"/>
      <c r="HE144" s="691"/>
      <c r="HF144" s="691"/>
      <c r="HG144" s="691"/>
      <c r="HH144" s="691"/>
      <c r="HI144" s="691"/>
      <c r="HJ144" s="691"/>
      <c r="HK144" s="691"/>
      <c r="HL144" s="691"/>
      <c r="HM144" s="691"/>
      <c r="HN144" s="691"/>
      <c r="HO144" s="691"/>
      <c r="HP144" s="691"/>
      <c r="HQ144" s="691"/>
      <c r="HR144" s="691"/>
      <c r="HS144" s="691"/>
      <c r="HT144" s="691"/>
      <c r="HU144" s="691"/>
      <c r="HV144" s="691"/>
      <c r="HW144" s="691"/>
      <c r="HX144" s="691"/>
      <c r="HY144" s="691"/>
      <c r="HZ144" s="691"/>
      <c r="IA144" s="691"/>
      <c r="IB144" s="691"/>
      <c r="IC144" s="691"/>
      <c r="ID144" s="691"/>
      <c r="IE144" s="691"/>
      <c r="IF144" s="691"/>
      <c r="IG144" s="691"/>
      <c r="IH144" s="691"/>
      <c r="II144" s="691"/>
      <c r="IJ144" s="691"/>
      <c r="IK144" s="691"/>
      <c r="IL144" s="691"/>
      <c r="IM144" s="691"/>
      <c r="IN144" s="691"/>
      <c r="IO144" s="691"/>
      <c r="IP144" s="691"/>
    </row>
    <row r="145" spans="2:250" s="692" customFormat="1" ht="15.75">
      <c r="B145" s="706"/>
      <c r="C145" s="24" t="s">
        <v>272</v>
      </c>
      <c r="D145" s="86"/>
      <c r="E145" s="45">
        <v>0.01</v>
      </c>
      <c r="F145" s="45">
        <v>0.01</v>
      </c>
      <c r="G145" s="45">
        <v>0.01</v>
      </c>
      <c r="H145" s="45">
        <v>0.01</v>
      </c>
      <c r="I145" s="45"/>
      <c r="J145" s="45">
        <v>0.01</v>
      </c>
      <c r="K145" s="130" t="s">
        <v>8</v>
      </c>
      <c r="L145" s="45"/>
      <c r="M145" s="45">
        <v>0.01</v>
      </c>
      <c r="N145" s="45">
        <v>0.01</v>
      </c>
      <c r="O145" s="116" t="s">
        <v>2172</v>
      </c>
      <c r="Q145" s="41"/>
      <c r="R145" s="41"/>
      <c r="S145" s="41"/>
      <c r="T145" s="41"/>
      <c r="U145" s="41"/>
      <c r="V145" s="691"/>
      <c r="W145" s="691"/>
      <c r="X145" s="691"/>
      <c r="Y145" s="691"/>
      <c r="Z145" s="691"/>
      <c r="AA145" s="691"/>
      <c r="AB145" s="691"/>
      <c r="AC145" s="691"/>
      <c r="AD145" s="691"/>
      <c r="AE145" s="691"/>
      <c r="AF145" s="691"/>
      <c r="AG145" s="691"/>
      <c r="AH145" s="691"/>
      <c r="AI145" s="691"/>
      <c r="AJ145" s="691"/>
      <c r="AK145" s="691"/>
      <c r="AL145" s="691"/>
      <c r="AM145" s="691"/>
      <c r="AN145" s="691"/>
      <c r="AO145" s="691"/>
      <c r="AP145" s="691"/>
      <c r="AQ145" s="691"/>
      <c r="AR145" s="691"/>
      <c r="AS145" s="691"/>
      <c r="AT145" s="691"/>
      <c r="AU145" s="691"/>
      <c r="AV145" s="691"/>
      <c r="AW145" s="691"/>
      <c r="AX145" s="691"/>
      <c r="AY145" s="691"/>
      <c r="AZ145" s="691"/>
      <c r="BA145" s="691"/>
      <c r="BB145" s="691"/>
      <c r="BC145" s="691"/>
      <c r="BD145" s="691"/>
      <c r="BE145" s="691"/>
      <c r="BF145" s="691"/>
      <c r="BG145" s="691"/>
      <c r="BH145" s="691"/>
      <c r="BI145" s="691"/>
      <c r="BJ145" s="691"/>
      <c r="BK145" s="691"/>
      <c r="BL145" s="691"/>
      <c r="BM145" s="691"/>
      <c r="BN145" s="691"/>
      <c r="BO145" s="691"/>
      <c r="BP145" s="691"/>
      <c r="BQ145" s="691"/>
      <c r="BR145" s="691"/>
      <c r="BS145" s="691"/>
      <c r="BT145" s="691"/>
      <c r="BU145" s="691"/>
      <c r="BV145" s="691"/>
      <c r="BW145" s="691"/>
      <c r="BX145" s="691"/>
      <c r="BY145" s="691"/>
      <c r="BZ145" s="691"/>
      <c r="CA145" s="691"/>
      <c r="CB145" s="691"/>
      <c r="CC145" s="691"/>
      <c r="CD145" s="691"/>
      <c r="CE145" s="691"/>
      <c r="CF145" s="691"/>
      <c r="CG145" s="691"/>
      <c r="CH145" s="691"/>
      <c r="CI145" s="691"/>
      <c r="CJ145" s="691"/>
      <c r="CK145" s="691"/>
      <c r="CL145" s="691"/>
      <c r="CM145" s="691"/>
      <c r="CN145" s="691"/>
      <c r="CO145" s="691"/>
      <c r="CP145" s="691"/>
      <c r="CQ145" s="691"/>
      <c r="CR145" s="691"/>
      <c r="CS145" s="691"/>
      <c r="CT145" s="691"/>
      <c r="CU145" s="691"/>
      <c r="CV145" s="691"/>
      <c r="CW145" s="691"/>
      <c r="CX145" s="691"/>
      <c r="CY145" s="691"/>
      <c r="CZ145" s="691"/>
      <c r="DA145" s="691"/>
      <c r="DB145" s="691"/>
      <c r="DC145" s="691"/>
      <c r="DD145" s="691"/>
      <c r="DE145" s="691"/>
      <c r="DF145" s="691"/>
      <c r="DG145" s="691"/>
      <c r="DH145" s="691"/>
      <c r="DI145" s="691"/>
      <c r="DJ145" s="691"/>
      <c r="DK145" s="691"/>
      <c r="DL145" s="691"/>
      <c r="DM145" s="691"/>
      <c r="DN145" s="691"/>
      <c r="DO145" s="691"/>
      <c r="DP145" s="691"/>
      <c r="DQ145" s="691"/>
      <c r="DR145" s="691"/>
      <c r="DS145" s="691"/>
      <c r="DT145" s="691"/>
      <c r="DU145" s="691"/>
      <c r="DV145" s="691"/>
      <c r="DW145" s="691"/>
      <c r="DX145" s="691"/>
      <c r="DY145" s="691"/>
      <c r="DZ145" s="691"/>
      <c r="EA145" s="691"/>
      <c r="EB145" s="691"/>
      <c r="EC145" s="691"/>
      <c r="ED145" s="691"/>
      <c r="EE145" s="691"/>
      <c r="EF145" s="691"/>
      <c r="EG145" s="691"/>
      <c r="EH145" s="691"/>
      <c r="EI145" s="691"/>
      <c r="EJ145" s="691"/>
      <c r="EK145" s="691"/>
      <c r="EL145" s="691"/>
      <c r="EM145" s="691"/>
      <c r="EN145" s="691"/>
      <c r="EO145" s="691"/>
      <c r="EP145" s="691"/>
      <c r="EQ145" s="691"/>
      <c r="ER145" s="691"/>
      <c r="ES145" s="691"/>
      <c r="ET145" s="691"/>
      <c r="EU145" s="691"/>
      <c r="EV145" s="691"/>
      <c r="EW145" s="691"/>
      <c r="EX145" s="691"/>
      <c r="EY145" s="691"/>
      <c r="EZ145" s="691"/>
      <c r="FA145" s="691"/>
      <c r="FB145" s="691"/>
      <c r="FC145" s="691"/>
      <c r="FD145" s="691"/>
      <c r="FE145" s="691"/>
      <c r="FF145" s="691"/>
      <c r="FG145" s="691"/>
      <c r="FH145" s="691"/>
      <c r="FI145" s="691"/>
      <c r="FJ145" s="691"/>
      <c r="FK145" s="691"/>
      <c r="FL145" s="691"/>
      <c r="FM145" s="691"/>
      <c r="FN145" s="691"/>
      <c r="FO145" s="691"/>
      <c r="FP145" s="691"/>
      <c r="FQ145" s="691"/>
      <c r="FR145" s="691"/>
      <c r="FS145" s="691"/>
      <c r="FT145" s="691"/>
      <c r="FU145" s="691"/>
      <c r="FV145" s="691"/>
      <c r="FW145" s="691"/>
      <c r="FX145" s="691"/>
      <c r="FY145" s="691"/>
      <c r="FZ145" s="691"/>
      <c r="GA145" s="691"/>
      <c r="GB145" s="691"/>
      <c r="GC145" s="691"/>
      <c r="GD145" s="691"/>
      <c r="GE145" s="691"/>
      <c r="GF145" s="691"/>
      <c r="GG145" s="691"/>
      <c r="GH145" s="691"/>
      <c r="GI145" s="691"/>
      <c r="GJ145" s="691"/>
      <c r="GK145" s="691"/>
      <c r="GL145" s="691"/>
      <c r="GM145" s="691"/>
      <c r="GN145" s="691"/>
      <c r="GO145" s="691"/>
      <c r="GP145" s="691"/>
      <c r="GQ145" s="691"/>
      <c r="GR145" s="691"/>
      <c r="GS145" s="691"/>
      <c r="GT145" s="691"/>
      <c r="GU145" s="691"/>
      <c r="GV145" s="691"/>
      <c r="GW145" s="691"/>
      <c r="GX145" s="691"/>
      <c r="GY145" s="691"/>
      <c r="GZ145" s="691"/>
      <c r="HA145" s="691"/>
      <c r="HB145" s="691"/>
      <c r="HC145" s="691"/>
      <c r="HD145" s="691"/>
      <c r="HE145" s="691"/>
      <c r="HF145" s="691"/>
      <c r="HG145" s="691"/>
      <c r="HH145" s="691"/>
      <c r="HI145" s="691"/>
      <c r="HJ145" s="691"/>
      <c r="HK145" s="691"/>
      <c r="HL145" s="691"/>
      <c r="HM145" s="691"/>
      <c r="HN145" s="691"/>
      <c r="HO145" s="691"/>
      <c r="HP145" s="691"/>
      <c r="HQ145" s="691"/>
      <c r="HR145" s="691"/>
      <c r="HS145" s="691"/>
      <c r="HT145" s="691"/>
      <c r="HU145" s="691"/>
      <c r="HV145" s="691"/>
      <c r="HW145" s="691"/>
      <c r="HX145" s="691"/>
      <c r="HY145" s="691"/>
      <c r="HZ145" s="691"/>
      <c r="IA145" s="691"/>
      <c r="IB145" s="691"/>
      <c r="IC145" s="691"/>
      <c r="ID145" s="691"/>
      <c r="IE145" s="691"/>
      <c r="IF145" s="691"/>
      <c r="IG145" s="691"/>
      <c r="IH145" s="691"/>
      <c r="II145" s="691"/>
      <c r="IJ145" s="691"/>
      <c r="IK145" s="691"/>
      <c r="IL145" s="691"/>
      <c r="IM145" s="691"/>
      <c r="IN145" s="691"/>
      <c r="IO145" s="691"/>
      <c r="IP145" s="691"/>
    </row>
    <row r="146" spans="2:250" s="692" customFormat="1" ht="15.75">
      <c r="M146" s="41"/>
      <c r="N146" s="41"/>
      <c r="O146" s="41"/>
      <c r="P146" s="41"/>
      <c r="Q146" s="41"/>
      <c r="R146" s="5"/>
      <c r="S146" s="5"/>
      <c r="T146" s="5"/>
      <c r="U146" s="5"/>
      <c r="V146" s="691"/>
      <c r="W146" s="691"/>
      <c r="X146" s="691"/>
      <c r="Y146" s="691"/>
      <c r="Z146" s="691"/>
      <c r="AA146" s="691"/>
      <c r="AB146" s="691"/>
      <c r="AC146" s="691"/>
      <c r="AD146" s="691"/>
      <c r="AE146" s="691"/>
      <c r="AF146" s="691"/>
      <c r="AG146" s="691"/>
      <c r="AH146" s="691"/>
      <c r="AI146" s="691"/>
      <c r="AJ146" s="691"/>
      <c r="AK146" s="691"/>
      <c r="AL146" s="691"/>
      <c r="AM146" s="691"/>
      <c r="AN146" s="691"/>
      <c r="AO146" s="691"/>
      <c r="AP146" s="691"/>
      <c r="AQ146" s="691"/>
      <c r="AR146" s="691"/>
      <c r="AS146" s="691"/>
      <c r="AT146" s="691"/>
      <c r="AU146" s="691"/>
      <c r="AV146" s="691"/>
      <c r="AW146" s="691"/>
      <c r="AX146" s="691"/>
      <c r="AY146" s="691"/>
      <c r="AZ146" s="691"/>
      <c r="BA146" s="691"/>
      <c r="BB146" s="691"/>
      <c r="BC146" s="691"/>
      <c r="BD146" s="691"/>
      <c r="BE146" s="691"/>
      <c r="BF146" s="691"/>
      <c r="BG146" s="691"/>
      <c r="BH146" s="691"/>
      <c r="BI146" s="691"/>
      <c r="BJ146" s="691"/>
      <c r="BK146" s="691"/>
      <c r="BL146" s="691"/>
      <c r="BM146" s="691"/>
      <c r="BN146" s="691"/>
      <c r="BO146" s="691"/>
      <c r="BP146" s="691"/>
      <c r="BQ146" s="691"/>
      <c r="BR146" s="691"/>
      <c r="BS146" s="691"/>
      <c r="BT146" s="691"/>
      <c r="BU146" s="691"/>
      <c r="BV146" s="691"/>
      <c r="BW146" s="691"/>
      <c r="BX146" s="691"/>
      <c r="BY146" s="691"/>
      <c r="BZ146" s="691"/>
      <c r="CA146" s="691"/>
      <c r="CB146" s="691"/>
      <c r="CC146" s="691"/>
      <c r="CD146" s="691"/>
      <c r="CE146" s="691"/>
      <c r="CF146" s="691"/>
      <c r="CG146" s="691"/>
      <c r="CH146" s="691"/>
      <c r="CI146" s="691"/>
      <c r="CJ146" s="691"/>
      <c r="CK146" s="691"/>
      <c r="CL146" s="691"/>
      <c r="CM146" s="691"/>
      <c r="CN146" s="691"/>
      <c r="CO146" s="691"/>
      <c r="CP146" s="691"/>
      <c r="CQ146" s="691"/>
      <c r="CR146" s="691"/>
      <c r="CS146" s="691"/>
      <c r="CT146" s="691"/>
      <c r="CU146" s="691"/>
      <c r="CV146" s="691"/>
      <c r="CW146" s="691"/>
      <c r="CX146" s="691"/>
      <c r="CY146" s="691"/>
      <c r="CZ146" s="691"/>
      <c r="DA146" s="691"/>
      <c r="DB146" s="691"/>
      <c r="DC146" s="691"/>
      <c r="DD146" s="691"/>
      <c r="DE146" s="691"/>
      <c r="DF146" s="691"/>
      <c r="DG146" s="691"/>
      <c r="DH146" s="691"/>
      <c r="DI146" s="691"/>
      <c r="DJ146" s="691"/>
      <c r="DK146" s="691"/>
      <c r="DL146" s="691"/>
      <c r="DM146" s="691"/>
      <c r="DN146" s="691"/>
      <c r="DO146" s="691"/>
      <c r="DP146" s="691"/>
      <c r="DQ146" s="691"/>
      <c r="DR146" s="691"/>
      <c r="DS146" s="691"/>
      <c r="DT146" s="691"/>
      <c r="DU146" s="691"/>
      <c r="DV146" s="691"/>
      <c r="DW146" s="691"/>
      <c r="DX146" s="691"/>
      <c r="DY146" s="691"/>
      <c r="DZ146" s="691"/>
      <c r="EA146" s="691"/>
      <c r="EB146" s="691"/>
      <c r="EC146" s="691"/>
      <c r="ED146" s="691"/>
      <c r="EE146" s="691"/>
      <c r="EF146" s="691"/>
      <c r="EG146" s="691"/>
      <c r="EH146" s="691"/>
      <c r="EI146" s="691"/>
      <c r="EJ146" s="691"/>
      <c r="EK146" s="691"/>
      <c r="EL146" s="691"/>
      <c r="EM146" s="691"/>
      <c r="EN146" s="691"/>
      <c r="EO146" s="691"/>
      <c r="EP146" s="691"/>
      <c r="EQ146" s="691"/>
      <c r="ER146" s="691"/>
      <c r="ES146" s="691"/>
      <c r="ET146" s="691"/>
      <c r="EU146" s="691"/>
      <c r="EV146" s="691"/>
      <c r="EW146" s="691"/>
      <c r="EX146" s="691"/>
      <c r="EY146" s="691"/>
      <c r="EZ146" s="691"/>
      <c r="FA146" s="691"/>
      <c r="FB146" s="691"/>
      <c r="FC146" s="691"/>
      <c r="FD146" s="691"/>
      <c r="FE146" s="691"/>
      <c r="FF146" s="691"/>
      <c r="FG146" s="691"/>
      <c r="FH146" s="691"/>
      <c r="FI146" s="691"/>
      <c r="FJ146" s="691"/>
      <c r="FK146" s="691"/>
      <c r="FL146" s="691"/>
      <c r="FM146" s="691"/>
      <c r="FN146" s="691"/>
      <c r="FO146" s="691"/>
      <c r="FP146" s="691"/>
      <c r="FQ146" s="691"/>
      <c r="FR146" s="691"/>
      <c r="FS146" s="691"/>
      <c r="FT146" s="691"/>
      <c r="FU146" s="691"/>
      <c r="FV146" s="691"/>
      <c r="FW146" s="691"/>
      <c r="FX146" s="691"/>
      <c r="FY146" s="691"/>
      <c r="FZ146" s="691"/>
      <c r="GA146" s="691"/>
      <c r="GB146" s="691"/>
      <c r="GC146" s="691"/>
      <c r="GD146" s="691"/>
      <c r="GE146" s="691"/>
      <c r="GF146" s="691"/>
      <c r="GG146" s="691"/>
      <c r="GH146" s="691"/>
      <c r="GI146" s="691"/>
      <c r="GJ146" s="691"/>
      <c r="GK146" s="691"/>
      <c r="GL146" s="691"/>
      <c r="GM146" s="691"/>
      <c r="GN146" s="691"/>
      <c r="GO146" s="691"/>
      <c r="GP146" s="691"/>
      <c r="GQ146" s="691"/>
      <c r="GR146" s="691"/>
      <c r="GS146" s="691"/>
      <c r="GT146" s="691"/>
      <c r="GU146" s="691"/>
      <c r="GV146" s="691"/>
      <c r="GW146" s="691"/>
      <c r="GX146" s="691"/>
      <c r="GY146" s="691"/>
      <c r="GZ146" s="691"/>
      <c r="HA146" s="691"/>
      <c r="HB146" s="691"/>
      <c r="HC146" s="691"/>
      <c r="HD146" s="691"/>
      <c r="HE146" s="691"/>
      <c r="HF146" s="691"/>
      <c r="HG146" s="691"/>
      <c r="HH146" s="691"/>
      <c r="HI146" s="691"/>
      <c r="HJ146" s="691"/>
      <c r="HK146" s="691"/>
      <c r="HL146" s="691"/>
      <c r="HM146" s="691"/>
      <c r="HN146" s="691"/>
      <c r="HO146" s="691"/>
      <c r="HP146" s="691"/>
      <c r="HQ146" s="691"/>
      <c r="HR146" s="691"/>
      <c r="HS146" s="691"/>
      <c r="HT146" s="691"/>
      <c r="HU146" s="691"/>
      <c r="HV146" s="691"/>
      <c r="HW146" s="691"/>
      <c r="HX146" s="691"/>
      <c r="HY146" s="691"/>
      <c r="HZ146" s="691"/>
      <c r="IA146" s="691"/>
      <c r="IB146" s="691"/>
      <c r="IC146" s="691"/>
      <c r="ID146" s="691"/>
      <c r="IE146" s="691"/>
      <c r="IF146" s="691"/>
      <c r="IG146" s="691"/>
      <c r="IH146" s="691"/>
      <c r="II146" s="691"/>
      <c r="IJ146" s="691"/>
      <c r="IK146" s="691"/>
      <c r="IL146" s="691"/>
      <c r="IM146" s="691"/>
      <c r="IN146" s="691"/>
      <c r="IO146" s="691"/>
      <c r="IP146" s="691"/>
    </row>
    <row r="147" spans="2:250" customFormat="1" ht="15.75">
      <c r="C147" s="688" t="s">
        <v>2173</v>
      </c>
      <c r="D147" s="716"/>
      <c r="E147" s="41"/>
      <c r="F147" s="41"/>
      <c r="G147" s="41"/>
      <c r="H147" s="41"/>
      <c r="I147" s="41"/>
      <c r="J147" s="41"/>
      <c r="K147" s="41"/>
      <c r="L147" s="41"/>
      <c r="M147" s="41"/>
      <c r="N147" s="41"/>
      <c r="O147" s="41"/>
      <c r="P147" s="41"/>
      <c r="Q147" s="41"/>
      <c r="R147" s="41"/>
      <c r="S147" s="41"/>
    </row>
    <row r="148" spans="2:250" s="692" customFormat="1" ht="22.35" customHeight="1">
      <c r="B148" s="706"/>
      <c r="C148" s="30" t="s">
        <v>2174</v>
      </c>
      <c r="D148" s="37" t="s">
        <v>2175</v>
      </c>
      <c r="E148" s="41"/>
      <c r="F148" s="41"/>
      <c r="G148" s="41"/>
      <c r="H148" s="41"/>
      <c r="I148" s="41"/>
      <c r="J148" s="41"/>
      <c r="K148" s="41"/>
      <c r="L148" s="41"/>
      <c r="M148" s="41"/>
      <c r="N148" s="41"/>
      <c r="O148" s="41"/>
      <c r="P148" s="41"/>
      <c r="Q148" s="41"/>
      <c r="R148" s="41"/>
      <c r="S148" s="41"/>
      <c r="T148" s="691"/>
      <c r="U148" s="691"/>
      <c r="V148" s="691"/>
      <c r="W148" s="691"/>
      <c r="X148" s="691"/>
      <c r="Y148" s="691"/>
      <c r="Z148" s="691"/>
      <c r="AA148" s="691"/>
      <c r="AB148" s="691"/>
      <c r="AC148" s="691"/>
      <c r="AD148" s="691"/>
      <c r="AE148" s="691"/>
      <c r="AF148" s="691"/>
      <c r="AG148" s="691"/>
      <c r="AH148" s="691"/>
      <c r="AI148" s="691"/>
      <c r="AJ148" s="691"/>
      <c r="AK148" s="691"/>
      <c r="AL148" s="691"/>
      <c r="AM148" s="691"/>
      <c r="AN148" s="691"/>
      <c r="AO148" s="691"/>
      <c r="AP148" s="691"/>
      <c r="AQ148" s="691"/>
      <c r="AR148" s="691"/>
      <c r="AS148" s="691"/>
      <c r="AT148" s="691"/>
      <c r="AU148" s="691"/>
      <c r="AV148" s="691"/>
      <c r="AW148" s="691"/>
      <c r="AX148" s="691"/>
      <c r="AY148" s="691"/>
      <c r="AZ148" s="691"/>
      <c r="BA148" s="691"/>
      <c r="BB148" s="691"/>
      <c r="BC148" s="691"/>
      <c r="BD148" s="691"/>
      <c r="BE148" s="691"/>
      <c r="BF148" s="691"/>
      <c r="BG148" s="691"/>
      <c r="BH148" s="691"/>
      <c r="BI148" s="691"/>
      <c r="BJ148" s="691"/>
      <c r="BK148" s="691"/>
      <c r="BL148" s="691"/>
      <c r="BM148" s="691"/>
      <c r="BN148" s="691"/>
      <c r="BO148" s="691"/>
      <c r="BP148" s="691"/>
      <c r="BQ148" s="691"/>
      <c r="BR148" s="691"/>
      <c r="BS148" s="691"/>
      <c r="BT148" s="691"/>
      <c r="BU148" s="691"/>
      <c r="BV148" s="691"/>
      <c r="BW148" s="691"/>
      <c r="BX148" s="691"/>
      <c r="BY148" s="691"/>
      <c r="BZ148" s="691"/>
      <c r="CA148" s="691"/>
      <c r="CB148" s="691"/>
      <c r="CC148" s="691"/>
      <c r="CD148" s="691"/>
      <c r="CE148" s="691"/>
      <c r="CF148" s="691"/>
      <c r="CG148" s="691"/>
      <c r="CH148" s="691"/>
      <c r="CI148" s="691"/>
      <c r="CJ148" s="691"/>
      <c r="CK148" s="691"/>
      <c r="CL148" s="691"/>
      <c r="CM148" s="691"/>
      <c r="CN148" s="691"/>
      <c r="CO148" s="691"/>
      <c r="CP148" s="691"/>
      <c r="CQ148" s="691"/>
      <c r="CR148" s="691"/>
      <c r="CS148" s="691"/>
      <c r="CT148" s="691"/>
      <c r="CU148" s="691"/>
      <c r="CV148" s="691"/>
      <c r="CW148" s="691"/>
      <c r="CX148" s="691"/>
      <c r="CY148" s="691"/>
      <c r="CZ148" s="691"/>
      <c r="DA148" s="691"/>
      <c r="DB148" s="691"/>
      <c r="DC148" s="691"/>
      <c r="DD148" s="691"/>
      <c r="DE148" s="691"/>
      <c r="DF148" s="691"/>
      <c r="DG148" s="691"/>
      <c r="DH148" s="691"/>
      <c r="DI148" s="691"/>
      <c r="DJ148" s="691"/>
      <c r="DK148" s="691"/>
      <c r="DL148" s="691"/>
      <c r="DM148" s="691"/>
      <c r="DN148" s="691"/>
      <c r="DO148" s="691"/>
      <c r="DP148" s="691"/>
      <c r="DQ148" s="691"/>
      <c r="DR148" s="691"/>
      <c r="DS148" s="691"/>
      <c r="DT148" s="691"/>
      <c r="DU148" s="691"/>
      <c r="DV148" s="691"/>
      <c r="DW148" s="691"/>
      <c r="DX148" s="691"/>
      <c r="DY148" s="691"/>
      <c r="DZ148" s="691"/>
      <c r="EA148" s="691"/>
      <c r="EB148" s="691"/>
      <c r="EC148" s="691"/>
      <c r="ED148" s="691"/>
      <c r="EE148" s="691"/>
      <c r="EF148" s="691"/>
      <c r="EG148" s="691"/>
      <c r="EH148" s="691"/>
      <c r="EI148" s="691"/>
      <c r="EJ148" s="691"/>
      <c r="EK148" s="691"/>
      <c r="EL148" s="691"/>
      <c r="EM148" s="691"/>
      <c r="EN148" s="691"/>
      <c r="EO148" s="691"/>
      <c r="EP148" s="691"/>
      <c r="EQ148" s="691"/>
      <c r="ER148" s="691"/>
      <c r="ES148" s="691"/>
      <c r="ET148" s="691"/>
      <c r="EU148" s="691"/>
      <c r="EV148" s="691"/>
      <c r="EW148" s="691"/>
      <c r="EX148" s="691"/>
      <c r="EY148" s="691"/>
      <c r="EZ148" s="691"/>
      <c r="FA148" s="691"/>
      <c r="FB148" s="691"/>
      <c r="FC148" s="691"/>
      <c r="FD148" s="691"/>
      <c r="FE148" s="691"/>
      <c r="FF148" s="691"/>
      <c r="FG148" s="691"/>
      <c r="FH148" s="691"/>
      <c r="FI148" s="691"/>
      <c r="FJ148" s="691"/>
      <c r="FK148" s="691"/>
      <c r="FL148" s="691"/>
      <c r="FM148" s="691"/>
      <c r="FN148" s="691"/>
      <c r="FO148" s="691"/>
      <c r="FP148" s="691"/>
      <c r="FQ148" s="691"/>
      <c r="FR148" s="691"/>
      <c r="FS148" s="691"/>
      <c r="FT148" s="691"/>
      <c r="FU148" s="691"/>
      <c r="FV148" s="691"/>
      <c r="FW148" s="691"/>
      <c r="FX148" s="691"/>
      <c r="FY148" s="691"/>
      <c r="FZ148" s="691"/>
      <c r="GA148" s="691"/>
      <c r="GB148" s="691"/>
      <c r="GC148" s="691"/>
      <c r="GD148" s="691"/>
      <c r="GE148" s="691"/>
      <c r="GF148" s="691"/>
      <c r="GG148" s="691"/>
      <c r="GH148" s="691"/>
      <c r="GI148" s="691"/>
      <c r="GJ148" s="691"/>
      <c r="GK148" s="691"/>
      <c r="GL148" s="691"/>
      <c r="GM148" s="691"/>
      <c r="GN148" s="691"/>
      <c r="GO148" s="691"/>
      <c r="GP148" s="691"/>
      <c r="GQ148" s="691"/>
      <c r="GR148" s="691"/>
      <c r="GS148" s="691"/>
      <c r="GT148" s="691"/>
      <c r="GU148" s="691"/>
      <c r="GV148" s="691"/>
      <c r="GW148" s="691"/>
      <c r="GX148" s="691"/>
      <c r="GY148" s="691"/>
      <c r="GZ148" s="691"/>
      <c r="HA148" s="691"/>
      <c r="HB148" s="691"/>
      <c r="HC148" s="691"/>
      <c r="HD148" s="691"/>
      <c r="HE148" s="691"/>
      <c r="HF148" s="691"/>
      <c r="HG148" s="691"/>
      <c r="HH148" s="691"/>
      <c r="HI148" s="691"/>
      <c r="HJ148" s="691"/>
      <c r="HK148" s="691"/>
      <c r="HL148" s="691"/>
      <c r="HM148" s="691"/>
      <c r="HN148" s="691"/>
      <c r="HO148" s="691"/>
      <c r="HP148" s="691"/>
      <c r="HQ148" s="691"/>
      <c r="HR148" s="691"/>
      <c r="HS148" s="691"/>
      <c r="HT148" s="691"/>
      <c r="HU148" s="691"/>
      <c r="HV148" s="691"/>
      <c r="HW148" s="691"/>
      <c r="HX148" s="691"/>
      <c r="HY148" s="691"/>
      <c r="HZ148" s="691"/>
      <c r="IA148" s="691"/>
      <c r="IB148" s="691"/>
      <c r="IC148" s="691"/>
      <c r="ID148" s="691"/>
      <c r="IE148" s="691"/>
      <c r="IF148" s="691"/>
      <c r="IG148" s="691"/>
      <c r="IH148" s="691"/>
      <c r="II148" s="691"/>
      <c r="IJ148" s="691"/>
      <c r="IK148" s="691"/>
      <c r="IL148" s="691"/>
      <c r="IM148" s="691"/>
      <c r="IN148" s="691"/>
    </row>
    <row r="149" spans="2:250" s="692" customFormat="1" ht="15.75">
      <c r="B149" s="706"/>
      <c r="C149" s="24" t="s">
        <v>2176</v>
      </c>
      <c r="D149" s="39">
        <v>100</v>
      </c>
      <c r="E149" s="41"/>
      <c r="F149" s="41"/>
      <c r="G149" s="41"/>
      <c r="H149" s="41"/>
      <c r="I149" s="41"/>
      <c r="J149" s="41"/>
      <c r="K149" s="41"/>
      <c r="L149" s="41"/>
      <c r="M149" s="41"/>
      <c r="N149" s="41"/>
      <c r="O149" s="41"/>
      <c r="P149" s="41"/>
      <c r="Q149" s="41"/>
      <c r="R149" s="41"/>
      <c r="S149" s="41"/>
      <c r="T149" s="691"/>
      <c r="U149" s="691"/>
      <c r="V149" s="691"/>
      <c r="W149" s="691"/>
      <c r="X149" s="691"/>
      <c r="Y149" s="691"/>
      <c r="Z149" s="691"/>
      <c r="AA149" s="691"/>
      <c r="AB149" s="691"/>
      <c r="AC149" s="691"/>
      <c r="AD149" s="691"/>
      <c r="AE149" s="691"/>
      <c r="AF149" s="691"/>
      <c r="AG149" s="691"/>
      <c r="AH149" s="691"/>
      <c r="AI149" s="691"/>
      <c r="AJ149" s="691"/>
      <c r="AK149" s="691"/>
      <c r="AL149" s="691"/>
      <c r="AM149" s="691"/>
      <c r="AN149" s="691"/>
      <c r="AO149" s="691"/>
      <c r="AP149" s="691"/>
      <c r="AQ149" s="691"/>
      <c r="AR149" s="691"/>
      <c r="AS149" s="691"/>
      <c r="AT149" s="691"/>
      <c r="AU149" s="691"/>
      <c r="AV149" s="691"/>
      <c r="AW149" s="691"/>
      <c r="AX149" s="691"/>
      <c r="AY149" s="691"/>
      <c r="AZ149" s="691"/>
      <c r="BA149" s="691"/>
      <c r="BB149" s="691"/>
      <c r="BC149" s="691"/>
      <c r="BD149" s="691"/>
      <c r="BE149" s="691"/>
      <c r="BF149" s="691"/>
      <c r="BG149" s="691"/>
      <c r="BH149" s="691"/>
      <c r="BI149" s="691"/>
      <c r="BJ149" s="691"/>
      <c r="BK149" s="691"/>
      <c r="BL149" s="691"/>
      <c r="BM149" s="691"/>
      <c r="BN149" s="691"/>
      <c r="BO149" s="691"/>
      <c r="BP149" s="691"/>
      <c r="BQ149" s="691"/>
      <c r="BR149" s="691"/>
      <c r="BS149" s="691"/>
      <c r="BT149" s="691"/>
      <c r="BU149" s="691"/>
      <c r="BV149" s="691"/>
      <c r="BW149" s="691"/>
      <c r="BX149" s="691"/>
      <c r="BY149" s="691"/>
      <c r="BZ149" s="691"/>
      <c r="CA149" s="691"/>
      <c r="CB149" s="691"/>
      <c r="CC149" s="691"/>
      <c r="CD149" s="691"/>
      <c r="CE149" s="691"/>
      <c r="CF149" s="691"/>
      <c r="CG149" s="691"/>
      <c r="CH149" s="691"/>
      <c r="CI149" s="691"/>
      <c r="CJ149" s="691"/>
      <c r="CK149" s="691"/>
      <c r="CL149" s="691"/>
      <c r="CM149" s="691"/>
      <c r="CN149" s="691"/>
      <c r="CO149" s="691"/>
      <c r="CP149" s="691"/>
      <c r="CQ149" s="691"/>
      <c r="CR149" s="691"/>
      <c r="CS149" s="691"/>
      <c r="CT149" s="691"/>
      <c r="CU149" s="691"/>
      <c r="CV149" s="691"/>
      <c r="CW149" s="691"/>
      <c r="CX149" s="691"/>
      <c r="CY149" s="691"/>
      <c r="CZ149" s="691"/>
      <c r="DA149" s="691"/>
      <c r="DB149" s="691"/>
      <c r="DC149" s="691"/>
      <c r="DD149" s="691"/>
      <c r="DE149" s="691"/>
      <c r="DF149" s="691"/>
      <c r="DG149" s="691"/>
      <c r="DH149" s="691"/>
      <c r="DI149" s="691"/>
      <c r="DJ149" s="691"/>
      <c r="DK149" s="691"/>
      <c r="DL149" s="691"/>
      <c r="DM149" s="691"/>
      <c r="DN149" s="691"/>
      <c r="DO149" s="691"/>
      <c r="DP149" s="691"/>
      <c r="DQ149" s="691"/>
      <c r="DR149" s="691"/>
      <c r="DS149" s="691"/>
      <c r="DT149" s="691"/>
      <c r="DU149" s="691"/>
      <c r="DV149" s="691"/>
      <c r="DW149" s="691"/>
      <c r="DX149" s="691"/>
      <c r="DY149" s="691"/>
      <c r="DZ149" s="691"/>
      <c r="EA149" s="691"/>
      <c r="EB149" s="691"/>
      <c r="EC149" s="691"/>
      <c r="ED149" s="691"/>
      <c r="EE149" s="691"/>
      <c r="EF149" s="691"/>
      <c r="EG149" s="691"/>
      <c r="EH149" s="691"/>
      <c r="EI149" s="691"/>
      <c r="EJ149" s="691"/>
      <c r="EK149" s="691"/>
      <c r="EL149" s="691"/>
      <c r="EM149" s="691"/>
      <c r="EN149" s="691"/>
      <c r="EO149" s="691"/>
      <c r="EP149" s="691"/>
      <c r="EQ149" s="691"/>
      <c r="ER149" s="691"/>
      <c r="ES149" s="691"/>
      <c r="ET149" s="691"/>
      <c r="EU149" s="691"/>
      <c r="EV149" s="691"/>
      <c r="EW149" s="691"/>
      <c r="EX149" s="691"/>
      <c r="EY149" s="691"/>
      <c r="EZ149" s="691"/>
      <c r="FA149" s="691"/>
      <c r="FB149" s="691"/>
      <c r="FC149" s="691"/>
      <c r="FD149" s="691"/>
      <c r="FE149" s="691"/>
      <c r="FF149" s="691"/>
      <c r="FG149" s="691"/>
      <c r="FH149" s="691"/>
      <c r="FI149" s="691"/>
      <c r="FJ149" s="691"/>
      <c r="FK149" s="691"/>
      <c r="FL149" s="691"/>
      <c r="FM149" s="691"/>
      <c r="FN149" s="691"/>
      <c r="FO149" s="691"/>
      <c r="FP149" s="691"/>
      <c r="FQ149" s="691"/>
      <c r="FR149" s="691"/>
      <c r="FS149" s="691"/>
      <c r="FT149" s="691"/>
      <c r="FU149" s="691"/>
      <c r="FV149" s="691"/>
      <c r="FW149" s="691"/>
      <c r="FX149" s="691"/>
      <c r="FY149" s="691"/>
      <c r="FZ149" s="691"/>
      <c r="GA149" s="691"/>
      <c r="GB149" s="691"/>
      <c r="GC149" s="691"/>
      <c r="GD149" s="691"/>
      <c r="GE149" s="691"/>
      <c r="GF149" s="691"/>
      <c r="GG149" s="691"/>
      <c r="GH149" s="691"/>
      <c r="GI149" s="691"/>
      <c r="GJ149" s="691"/>
      <c r="GK149" s="691"/>
      <c r="GL149" s="691"/>
      <c r="GM149" s="691"/>
      <c r="GN149" s="691"/>
      <c r="GO149" s="691"/>
      <c r="GP149" s="691"/>
      <c r="GQ149" s="691"/>
      <c r="GR149" s="691"/>
      <c r="GS149" s="691"/>
      <c r="GT149" s="691"/>
      <c r="GU149" s="691"/>
      <c r="GV149" s="691"/>
      <c r="GW149" s="691"/>
      <c r="GX149" s="691"/>
      <c r="GY149" s="691"/>
      <c r="GZ149" s="691"/>
      <c r="HA149" s="691"/>
      <c r="HB149" s="691"/>
      <c r="HC149" s="691"/>
      <c r="HD149" s="691"/>
      <c r="HE149" s="691"/>
      <c r="HF149" s="691"/>
      <c r="HG149" s="691"/>
      <c r="HH149" s="691"/>
      <c r="HI149" s="691"/>
      <c r="HJ149" s="691"/>
      <c r="HK149" s="691"/>
      <c r="HL149" s="691"/>
      <c r="HM149" s="691"/>
      <c r="HN149" s="691"/>
      <c r="HO149" s="691"/>
      <c r="HP149" s="691"/>
      <c r="HQ149" s="691"/>
      <c r="HR149" s="691"/>
      <c r="HS149" s="691"/>
      <c r="HT149" s="691"/>
      <c r="HU149" s="691"/>
      <c r="HV149" s="691"/>
      <c r="HW149" s="691"/>
      <c r="HX149" s="691"/>
      <c r="HY149" s="691"/>
      <c r="HZ149" s="691"/>
      <c r="IA149" s="691"/>
      <c r="IB149" s="691"/>
      <c r="IC149" s="691"/>
      <c r="ID149" s="691"/>
      <c r="IE149" s="691"/>
      <c r="IF149" s="691"/>
      <c r="IG149" s="691"/>
      <c r="IH149" s="691"/>
      <c r="II149" s="691"/>
      <c r="IJ149" s="691"/>
      <c r="IK149" s="691"/>
      <c r="IL149" s="691"/>
      <c r="IM149" s="691"/>
      <c r="IN149" s="691"/>
    </row>
    <row r="150" spans="2:250" s="692" customFormat="1" ht="15.75">
      <c r="B150" s="706"/>
      <c r="C150" s="24" t="s">
        <v>2177</v>
      </c>
      <c r="D150" s="39">
        <v>100</v>
      </c>
      <c r="E150" s="41"/>
      <c r="F150" s="41"/>
      <c r="G150" s="41"/>
      <c r="H150" s="41"/>
      <c r="I150" s="41"/>
      <c r="J150" s="41"/>
      <c r="K150" s="41"/>
      <c r="L150" s="41"/>
      <c r="M150" s="41"/>
      <c r="N150" s="41"/>
      <c r="O150" s="41"/>
      <c r="P150" s="41"/>
      <c r="Q150" s="41"/>
      <c r="R150" s="41"/>
      <c r="S150" s="41"/>
      <c r="T150" s="691"/>
      <c r="U150" s="691"/>
      <c r="V150" s="691"/>
      <c r="W150" s="691"/>
      <c r="X150" s="691"/>
      <c r="Y150" s="691"/>
      <c r="Z150" s="691"/>
      <c r="AA150" s="691"/>
      <c r="AB150" s="691"/>
      <c r="AC150" s="691"/>
      <c r="AD150" s="691"/>
      <c r="AE150" s="691"/>
      <c r="AF150" s="691"/>
      <c r="AG150" s="691"/>
      <c r="AH150" s="691"/>
      <c r="AI150" s="691"/>
      <c r="AJ150" s="691"/>
      <c r="AK150" s="691"/>
      <c r="AL150" s="691"/>
      <c r="AM150" s="691"/>
      <c r="AN150" s="691"/>
      <c r="AO150" s="691"/>
      <c r="AP150" s="691"/>
      <c r="AQ150" s="691"/>
      <c r="AR150" s="691"/>
      <c r="AS150" s="691"/>
      <c r="AT150" s="691"/>
      <c r="AU150" s="691"/>
      <c r="AV150" s="691"/>
      <c r="AW150" s="691"/>
      <c r="AX150" s="691"/>
      <c r="AY150" s="691"/>
      <c r="AZ150" s="691"/>
      <c r="BA150" s="691"/>
      <c r="BB150" s="691"/>
      <c r="BC150" s="691"/>
      <c r="BD150" s="691"/>
      <c r="BE150" s="691"/>
      <c r="BF150" s="691"/>
      <c r="BG150" s="691"/>
      <c r="BH150" s="691"/>
      <c r="BI150" s="691"/>
      <c r="BJ150" s="691"/>
      <c r="BK150" s="691"/>
      <c r="BL150" s="691"/>
      <c r="BM150" s="691"/>
      <c r="BN150" s="691"/>
      <c r="BO150" s="691"/>
      <c r="BP150" s="691"/>
      <c r="BQ150" s="691"/>
      <c r="BR150" s="691"/>
      <c r="BS150" s="691"/>
      <c r="BT150" s="691"/>
      <c r="BU150" s="691"/>
      <c r="BV150" s="691"/>
      <c r="BW150" s="691"/>
      <c r="BX150" s="691"/>
      <c r="BY150" s="691"/>
      <c r="BZ150" s="691"/>
      <c r="CA150" s="691"/>
      <c r="CB150" s="691"/>
      <c r="CC150" s="691"/>
      <c r="CD150" s="691"/>
      <c r="CE150" s="691"/>
      <c r="CF150" s="691"/>
      <c r="CG150" s="691"/>
      <c r="CH150" s="691"/>
      <c r="CI150" s="691"/>
      <c r="CJ150" s="691"/>
      <c r="CK150" s="691"/>
      <c r="CL150" s="691"/>
      <c r="CM150" s="691"/>
      <c r="CN150" s="691"/>
      <c r="CO150" s="691"/>
      <c r="CP150" s="691"/>
      <c r="CQ150" s="691"/>
      <c r="CR150" s="691"/>
      <c r="CS150" s="691"/>
      <c r="CT150" s="691"/>
      <c r="CU150" s="691"/>
      <c r="CV150" s="691"/>
      <c r="CW150" s="691"/>
      <c r="CX150" s="691"/>
      <c r="CY150" s="691"/>
      <c r="CZ150" s="691"/>
      <c r="DA150" s="691"/>
      <c r="DB150" s="691"/>
      <c r="DC150" s="691"/>
      <c r="DD150" s="691"/>
      <c r="DE150" s="691"/>
      <c r="DF150" s="691"/>
      <c r="DG150" s="691"/>
      <c r="DH150" s="691"/>
      <c r="DI150" s="691"/>
      <c r="DJ150" s="691"/>
      <c r="DK150" s="691"/>
      <c r="DL150" s="691"/>
      <c r="DM150" s="691"/>
      <c r="DN150" s="691"/>
      <c r="DO150" s="691"/>
      <c r="DP150" s="691"/>
      <c r="DQ150" s="691"/>
      <c r="DR150" s="691"/>
      <c r="DS150" s="691"/>
      <c r="DT150" s="691"/>
      <c r="DU150" s="691"/>
      <c r="DV150" s="691"/>
      <c r="DW150" s="691"/>
      <c r="DX150" s="691"/>
      <c r="DY150" s="691"/>
      <c r="DZ150" s="691"/>
      <c r="EA150" s="691"/>
      <c r="EB150" s="691"/>
      <c r="EC150" s="691"/>
      <c r="ED150" s="691"/>
      <c r="EE150" s="691"/>
      <c r="EF150" s="691"/>
      <c r="EG150" s="691"/>
      <c r="EH150" s="691"/>
      <c r="EI150" s="691"/>
      <c r="EJ150" s="691"/>
      <c r="EK150" s="691"/>
      <c r="EL150" s="691"/>
      <c r="EM150" s="691"/>
      <c r="EN150" s="691"/>
      <c r="EO150" s="691"/>
      <c r="EP150" s="691"/>
      <c r="EQ150" s="691"/>
      <c r="ER150" s="691"/>
      <c r="ES150" s="691"/>
      <c r="ET150" s="691"/>
      <c r="EU150" s="691"/>
      <c r="EV150" s="691"/>
      <c r="EW150" s="691"/>
      <c r="EX150" s="691"/>
      <c r="EY150" s="691"/>
      <c r="EZ150" s="691"/>
      <c r="FA150" s="691"/>
      <c r="FB150" s="691"/>
      <c r="FC150" s="691"/>
      <c r="FD150" s="691"/>
      <c r="FE150" s="691"/>
      <c r="FF150" s="691"/>
      <c r="FG150" s="691"/>
      <c r="FH150" s="691"/>
      <c r="FI150" s="691"/>
      <c r="FJ150" s="691"/>
      <c r="FK150" s="691"/>
      <c r="FL150" s="691"/>
      <c r="FM150" s="691"/>
      <c r="FN150" s="691"/>
      <c r="FO150" s="691"/>
      <c r="FP150" s="691"/>
      <c r="FQ150" s="691"/>
      <c r="FR150" s="691"/>
      <c r="FS150" s="691"/>
      <c r="FT150" s="691"/>
      <c r="FU150" s="691"/>
      <c r="FV150" s="691"/>
      <c r="FW150" s="691"/>
      <c r="FX150" s="691"/>
      <c r="FY150" s="691"/>
      <c r="FZ150" s="691"/>
      <c r="GA150" s="691"/>
      <c r="GB150" s="691"/>
      <c r="GC150" s="691"/>
      <c r="GD150" s="691"/>
      <c r="GE150" s="691"/>
      <c r="GF150" s="691"/>
      <c r="GG150" s="691"/>
      <c r="GH150" s="691"/>
      <c r="GI150" s="691"/>
      <c r="GJ150" s="691"/>
      <c r="GK150" s="691"/>
      <c r="GL150" s="691"/>
      <c r="GM150" s="691"/>
      <c r="GN150" s="691"/>
      <c r="GO150" s="691"/>
      <c r="GP150" s="691"/>
      <c r="GQ150" s="691"/>
      <c r="GR150" s="691"/>
      <c r="GS150" s="691"/>
      <c r="GT150" s="691"/>
      <c r="GU150" s="691"/>
      <c r="GV150" s="691"/>
      <c r="GW150" s="691"/>
      <c r="GX150" s="691"/>
      <c r="GY150" s="691"/>
      <c r="GZ150" s="691"/>
      <c r="HA150" s="691"/>
      <c r="HB150" s="691"/>
      <c r="HC150" s="691"/>
      <c r="HD150" s="691"/>
      <c r="HE150" s="691"/>
      <c r="HF150" s="691"/>
      <c r="HG150" s="691"/>
      <c r="HH150" s="691"/>
      <c r="HI150" s="691"/>
      <c r="HJ150" s="691"/>
      <c r="HK150" s="691"/>
      <c r="HL150" s="691"/>
      <c r="HM150" s="691"/>
      <c r="HN150" s="691"/>
      <c r="HO150" s="691"/>
      <c r="HP150" s="691"/>
      <c r="HQ150" s="691"/>
      <c r="HR150" s="691"/>
      <c r="HS150" s="691"/>
      <c r="HT150" s="691"/>
      <c r="HU150" s="691"/>
      <c r="HV150" s="691"/>
      <c r="HW150" s="691"/>
      <c r="HX150" s="691"/>
      <c r="HY150" s="691"/>
      <c r="HZ150" s="691"/>
      <c r="IA150" s="691"/>
      <c r="IB150" s="691"/>
      <c r="IC150" s="691"/>
      <c r="ID150" s="691"/>
      <c r="IE150" s="691"/>
      <c r="IF150" s="691"/>
      <c r="IG150" s="691"/>
      <c r="IH150" s="691"/>
      <c r="II150" s="691"/>
      <c r="IJ150" s="691"/>
      <c r="IK150" s="691"/>
      <c r="IL150" s="691"/>
      <c r="IM150" s="691"/>
      <c r="IN150" s="691"/>
    </row>
    <row r="151" spans="2:250" s="692" customFormat="1" ht="15.75">
      <c r="B151" s="706"/>
      <c r="C151" s="24" t="s">
        <v>2178</v>
      </c>
      <c r="D151" s="39">
        <v>100</v>
      </c>
      <c r="E151" s="41"/>
      <c r="F151" s="41"/>
      <c r="G151" s="41"/>
      <c r="H151" s="41"/>
      <c r="I151" s="41"/>
      <c r="J151" s="41"/>
      <c r="K151" s="41"/>
      <c r="L151" s="41"/>
      <c r="M151" s="41"/>
      <c r="N151" s="41"/>
      <c r="O151" s="41"/>
      <c r="P151" s="41"/>
      <c r="Q151" s="41"/>
      <c r="R151" s="41"/>
      <c r="S151" s="41"/>
      <c r="T151" s="691"/>
      <c r="U151" s="691"/>
      <c r="V151" s="691"/>
      <c r="W151" s="691"/>
      <c r="X151" s="691"/>
      <c r="Y151" s="691"/>
      <c r="Z151" s="691"/>
      <c r="AA151" s="691"/>
      <c r="AB151" s="691"/>
      <c r="AC151" s="691"/>
      <c r="AD151" s="691"/>
      <c r="AE151" s="691"/>
      <c r="AF151" s="691"/>
      <c r="AG151" s="691"/>
      <c r="AH151" s="691"/>
      <c r="AI151" s="691"/>
      <c r="AJ151" s="691"/>
      <c r="AK151" s="691"/>
      <c r="AL151" s="691"/>
      <c r="AM151" s="691"/>
      <c r="AN151" s="691"/>
      <c r="AO151" s="691"/>
      <c r="AP151" s="691"/>
      <c r="AQ151" s="691"/>
      <c r="AR151" s="691"/>
      <c r="AS151" s="691"/>
      <c r="AT151" s="691"/>
      <c r="AU151" s="691"/>
      <c r="AV151" s="691"/>
      <c r="AW151" s="691"/>
      <c r="AX151" s="691"/>
      <c r="AY151" s="691"/>
      <c r="AZ151" s="691"/>
      <c r="BA151" s="691"/>
      <c r="BB151" s="691"/>
      <c r="BC151" s="691"/>
      <c r="BD151" s="691"/>
      <c r="BE151" s="691"/>
      <c r="BF151" s="691"/>
      <c r="BG151" s="691"/>
      <c r="BH151" s="691"/>
      <c r="BI151" s="691"/>
      <c r="BJ151" s="691"/>
      <c r="BK151" s="691"/>
      <c r="BL151" s="691"/>
      <c r="BM151" s="691"/>
      <c r="BN151" s="691"/>
      <c r="BO151" s="691"/>
      <c r="BP151" s="691"/>
      <c r="BQ151" s="691"/>
      <c r="BR151" s="691"/>
      <c r="BS151" s="691"/>
      <c r="BT151" s="691"/>
      <c r="BU151" s="691"/>
      <c r="BV151" s="691"/>
      <c r="BW151" s="691"/>
      <c r="BX151" s="691"/>
      <c r="BY151" s="691"/>
      <c r="BZ151" s="691"/>
      <c r="CA151" s="691"/>
      <c r="CB151" s="691"/>
      <c r="CC151" s="691"/>
      <c r="CD151" s="691"/>
      <c r="CE151" s="691"/>
      <c r="CF151" s="691"/>
      <c r="CG151" s="691"/>
      <c r="CH151" s="691"/>
      <c r="CI151" s="691"/>
      <c r="CJ151" s="691"/>
      <c r="CK151" s="691"/>
      <c r="CL151" s="691"/>
      <c r="CM151" s="691"/>
      <c r="CN151" s="691"/>
      <c r="CO151" s="691"/>
      <c r="CP151" s="691"/>
      <c r="CQ151" s="691"/>
      <c r="CR151" s="691"/>
      <c r="CS151" s="691"/>
      <c r="CT151" s="691"/>
      <c r="CU151" s="691"/>
      <c r="CV151" s="691"/>
      <c r="CW151" s="691"/>
      <c r="CX151" s="691"/>
      <c r="CY151" s="691"/>
      <c r="CZ151" s="691"/>
      <c r="DA151" s="691"/>
      <c r="DB151" s="691"/>
      <c r="DC151" s="691"/>
      <c r="DD151" s="691"/>
      <c r="DE151" s="691"/>
      <c r="DF151" s="691"/>
      <c r="DG151" s="691"/>
      <c r="DH151" s="691"/>
      <c r="DI151" s="691"/>
      <c r="DJ151" s="691"/>
      <c r="DK151" s="691"/>
      <c r="DL151" s="691"/>
      <c r="DM151" s="691"/>
      <c r="DN151" s="691"/>
      <c r="DO151" s="691"/>
      <c r="DP151" s="691"/>
      <c r="DQ151" s="691"/>
      <c r="DR151" s="691"/>
      <c r="DS151" s="691"/>
      <c r="DT151" s="691"/>
      <c r="DU151" s="691"/>
      <c r="DV151" s="691"/>
      <c r="DW151" s="691"/>
      <c r="DX151" s="691"/>
      <c r="DY151" s="691"/>
      <c r="DZ151" s="691"/>
      <c r="EA151" s="691"/>
      <c r="EB151" s="691"/>
      <c r="EC151" s="691"/>
      <c r="ED151" s="691"/>
      <c r="EE151" s="691"/>
      <c r="EF151" s="691"/>
      <c r="EG151" s="691"/>
      <c r="EH151" s="691"/>
      <c r="EI151" s="691"/>
      <c r="EJ151" s="691"/>
      <c r="EK151" s="691"/>
      <c r="EL151" s="691"/>
      <c r="EM151" s="691"/>
      <c r="EN151" s="691"/>
      <c r="EO151" s="691"/>
      <c r="EP151" s="691"/>
      <c r="EQ151" s="691"/>
      <c r="ER151" s="691"/>
      <c r="ES151" s="691"/>
      <c r="ET151" s="691"/>
      <c r="EU151" s="691"/>
      <c r="EV151" s="691"/>
      <c r="EW151" s="691"/>
      <c r="EX151" s="691"/>
      <c r="EY151" s="691"/>
      <c r="EZ151" s="691"/>
      <c r="FA151" s="691"/>
      <c r="FB151" s="691"/>
      <c r="FC151" s="691"/>
      <c r="FD151" s="691"/>
      <c r="FE151" s="691"/>
      <c r="FF151" s="691"/>
      <c r="FG151" s="691"/>
      <c r="FH151" s="691"/>
      <c r="FI151" s="691"/>
      <c r="FJ151" s="691"/>
      <c r="FK151" s="691"/>
      <c r="FL151" s="691"/>
      <c r="FM151" s="691"/>
      <c r="FN151" s="691"/>
      <c r="FO151" s="691"/>
      <c r="FP151" s="691"/>
      <c r="FQ151" s="691"/>
      <c r="FR151" s="691"/>
      <c r="FS151" s="691"/>
      <c r="FT151" s="691"/>
      <c r="FU151" s="691"/>
      <c r="FV151" s="691"/>
      <c r="FW151" s="691"/>
      <c r="FX151" s="691"/>
      <c r="FY151" s="691"/>
      <c r="FZ151" s="691"/>
      <c r="GA151" s="691"/>
      <c r="GB151" s="691"/>
      <c r="GC151" s="691"/>
      <c r="GD151" s="691"/>
      <c r="GE151" s="691"/>
      <c r="GF151" s="691"/>
      <c r="GG151" s="691"/>
      <c r="GH151" s="691"/>
      <c r="GI151" s="691"/>
      <c r="GJ151" s="691"/>
      <c r="GK151" s="691"/>
      <c r="GL151" s="691"/>
      <c r="GM151" s="691"/>
      <c r="GN151" s="691"/>
      <c r="GO151" s="691"/>
      <c r="GP151" s="691"/>
      <c r="GQ151" s="691"/>
      <c r="GR151" s="691"/>
      <c r="GS151" s="691"/>
      <c r="GT151" s="691"/>
      <c r="GU151" s="691"/>
      <c r="GV151" s="691"/>
      <c r="GW151" s="691"/>
      <c r="GX151" s="691"/>
      <c r="GY151" s="691"/>
      <c r="GZ151" s="691"/>
      <c r="HA151" s="691"/>
      <c r="HB151" s="691"/>
      <c r="HC151" s="691"/>
      <c r="HD151" s="691"/>
      <c r="HE151" s="691"/>
      <c r="HF151" s="691"/>
      <c r="HG151" s="691"/>
      <c r="HH151" s="691"/>
      <c r="HI151" s="691"/>
      <c r="HJ151" s="691"/>
      <c r="HK151" s="691"/>
      <c r="HL151" s="691"/>
      <c r="HM151" s="691"/>
      <c r="HN151" s="691"/>
      <c r="HO151" s="691"/>
      <c r="HP151" s="691"/>
      <c r="HQ151" s="691"/>
      <c r="HR151" s="691"/>
      <c r="HS151" s="691"/>
      <c r="HT151" s="691"/>
      <c r="HU151" s="691"/>
      <c r="HV151" s="691"/>
      <c r="HW151" s="691"/>
      <c r="HX151" s="691"/>
      <c r="HY151" s="691"/>
      <c r="HZ151" s="691"/>
      <c r="IA151" s="691"/>
      <c r="IB151" s="691"/>
      <c r="IC151" s="691"/>
      <c r="ID151" s="691"/>
      <c r="IE151" s="691"/>
      <c r="IF151" s="691"/>
      <c r="IG151" s="691"/>
      <c r="IH151" s="691"/>
      <c r="II151" s="691"/>
      <c r="IJ151" s="691"/>
      <c r="IK151" s="691"/>
      <c r="IL151" s="691"/>
      <c r="IM151" s="691"/>
      <c r="IN151" s="691"/>
    </row>
    <row r="152" spans="2:250" s="692" customFormat="1" ht="15.75">
      <c r="B152" s="706"/>
      <c r="C152" s="24" t="s">
        <v>2179</v>
      </c>
      <c r="D152" s="39">
        <v>100</v>
      </c>
      <c r="E152" s="41"/>
      <c r="F152" s="41"/>
      <c r="G152" s="41"/>
      <c r="H152" s="41"/>
      <c r="I152" s="41"/>
      <c r="J152" s="41"/>
      <c r="K152" s="41"/>
      <c r="L152" s="41"/>
      <c r="M152" s="41"/>
      <c r="N152" s="41"/>
      <c r="O152" s="41"/>
      <c r="P152" s="41"/>
      <c r="Q152" s="41"/>
      <c r="R152" s="41"/>
      <c r="S152" s="41"/>
      <c r="T152" s="691"/>
      <c r="U152" s="691"/>
      <c r="V152" s="691"/>
      <c r="W152" s="691"/>
      <c r="X152" s="691"/>
      <c r="Y152" s="691"/>
      <c r="Z152" s="691"/>
      <c r="AA152" s="691"/>
      <c r="AB152" s="691"/>
      <c r="AC152" s="691"/>
      <c r="AD152" s="691"/>
      <c r="AE152" s="691"/>
      <c r="AF152" s="691"/>
      <c r="AG152" s="691"/>
      <c r="AH152" s="691"/>
      <c r="AI152" s="691"/>
      <c r="AJ152" s="691"/>
      <c r="AK152" s="691"/>
      <c r="AL152" s="691"/>
      <c r="AM152" s="691"/>
      <c r="AN152" s="691"/>
      <c r="AO152" s="691"/>
      <c r="AP152" s="691"/>
      <c r="AQ152" s="691"/>
      <c r="AR152" s="691"/>
      <c r="AS152" s="691"/>
      <c r="AT152" s="691"/>
      <c r="AU152" s="691"/>
      <c r="AV152" s="691"/>
      <c r="AW152" s="691"/>
      <c r="AX152" s="691"/>
      <c r="AY152" s="691"/>
      <c r="AZ152" s="691"/>
      <c r="BA152" s="691"/>
      <c r="BB152" s="691"/>
      <c r="BC152" s="691"/>
      <c r="BD152" s="691"/>
      <c r="BE152" s="691"/>
      <c r="BF152" s="691"/>
      <c r="BG152" s="691"/>
      <c r="BH152" s="691"/>
      <c r="BI152" s="691"/>
      <c r="BJ152" s="691"/>
      <c r="BK152" s="691"/>
      <c r="BL152" s="691"/>
      <c r="BM152" s="691"/>
      <c r="BN152" s="691"/>
      <c r="BO152" s="691"/>
      <c r="BP152" s="691"/>
      <c r="BQ152" s="691"/>
      <c r="BR152" s="691"/>
      <c r="BS152" s="691"/>
      <c r="BT152" s="691"/>
      <c r="BU152" s="691"/>
      <c r="BV152" s="691"/>
      <c r="BW152" s="691"/>
      <c r="BX152" s="691"/>
      <c r="BY152" s="691"/>
      <c r="BZ152" s="691"/>
      <c r="CA152" s="691"/>
      <c r="CB152" s="691"/>
      <c r="CC152" s="691"/>
      <c r="CD152" s="691"/>
      <c r="CE152" s="691"/>
      <c r="CF152" s="691"/>
      <c r="CG152" s="691"/>
      <c r="CH152" s="691"/>
      <c r="CI152" s="691"/>
      <c r="CJ152" s="691"/>
      <c r="CK152" s="691"/>
      <c r="CL152" s="691"/>
      <c r="CM152" s="691"/>
      <c r="CN152" s="691"/>
      <c r="CO152" s="691"/>
      <c r="CP152" s="691"/>
      <c r="CQ152" s="691"/>
      <c r="CR152" s="691"/>
      <c r="CS152" s="691"/>
      <c r="CT152" s="691"/>
      <c r="CU152" s="691"/>
      <c r="CV152" s="691"/>
      <c r="CW152" s="691"/>
      <c r="CX152" s="691"/>
      <c r="CY152" s="691"/>
      <c r="CZ152" s="691"/>
      <c r="DA152" s="691"/>
      <c r="DB152" s="691"/>
      <c r="DC152" s="691"/>
      <c r="DD152" s="691"/>
      <c r="DE152" s="691"/>
      <c r="DF152" s="691"/>
      <c r="DG152" s="691"/>
      <c r="DH152" s="691"/>
      <c r="DI152" s="691"/>
      <c r="DJ152" s="691"/>
      <c r="DK152" s="691"/>
      <c r="DL152" s="691"/>
      <c r="DM152" s="691"/>
      <c r="DN152" s="691"/>
      <c r="DO152" s="691"/>
      <c r="DP152" s="691"/>
      <c r="DQ152" s="691"/>
      <c r="DR152" s="691"/>
      <c r="DS152" s="691"/>
      <c r="DT152" s="691"/>
      <c r="DU152" s="691"/>
      <c r="DV152" s="691"/>
      <c r="DW152" s="691"/>
      <c r="DX152" s="691"/>
      <c r="DY152" s="691"/>
      <c r="DZ152" s="691"/>
      <c r="EA152" s="691"/>
      <c r="EB152" s="691"/>
      <c r="EC152" s="691"/>
      <c r="ED152" s="691"/>
      <c r="EE152" s="691"/>
      <c r="EF152" s="691"/>
      <c r="EG152" s="691"/>
      <c r="EH152" s="691"/>
      <c r="EI152" s="691"/>
      <c r="EJ152" s="691"/>
      <c r="EK152" s="691"/>
      <c r="EL152" s="691"/>
      <c r="EM152" s="691"/>
      <c r="EN152" s="691"/>
      <c r="EO152" s="691"/>
      <c r="EP152" s="691"/>
      <c r="EQ152" s="691"/>
      <c r="ER152" s="691"/>
      <c r="ES152" s="691"/>
      <c r="ET152" s="691"/>
      <c r="EU152" s="691"/>
      <c r="EV152" s="691"/>
      <c r="EW152" s="691"/>
      <c r="EX152" s="691"/>
      <c r="EY152" s="691"/>
      <c r="EZ152" s="691"/>
      <c r="FA152" s="691"/>
      <c r="FB152" s="691"/>
      <c r="FC152" s="691"/>
      <c r="FD152" s="691"/>
      <c r="FE152" s="691"/>
      <c r="FF152" s="691"/>
      <c r="FG152" s="691"/>
      <c r="FH152" s="691"/>
      <c r="FI152" s="691"/>
      <c r="FJ152" s="691"/>
      <c r="FK152" s="691"/>
      <c r="FL152" s="691"/>
      <c r="FM152" s="691"/>
      <c r="FN152" s="691"/>
      <c r="FO152" s="691"/>
      <c r="FP152" s="691"/>
      <c r="FQ152" s="691"/>
      <c r="FR152" s="691"/>
      <c r="FS152" s="691"/>
      <c r="FT152" s="691"/>
      <c r="FU152" s="691"/>
      <c r="FV152" s="691"/>
      <c r="FW152" s="691"/>
      <c r="FX152" s="691"/>
      <c r="FY152" s="691"/>
      <c r="FZ152" s="691"/>
      <c r="GA152" s="691"/>
      <c r="GB152" s="691"/>
      <c r="GC152" s="691"/>
      <c r="GD152" s="691"/>
      <c r="GE152" s="691"/>
      <c r="GF152" s="691"/>
      <c r="GG152" s="691"/>
      <c r="GH152" s="691"/>
      <c r="GI152" s="691"/>
      <c r="GJ152" s="691"/>
      <c r="GK152" s="691"/>
      <c r="GL152" s="691"/>
      <c r="GM152" s="691"/>
      <c r="GN152" s="691"/>
      <c r="GO152" s="691"/>
      <c r="GP152" s="691"/>
      <c r="GQ152" s="691"/>
      <c r="GR152" s="691"/>
      <c r="GS152" s="691"/>
      <c r="GT152" s="691"/>
      <c r="GU152" s="691"/>
      <c r="GV152" s="691"/>
      <c r="GW152" s="691"/>
      <c r="GX152" s="691"/>
      <c r="GY152" s="691"/>
      <c r="GZ152" s="691"/>
      <c r="HA152" s="691"/>
      <c r="HB152" s="691"/>
      <c r="HC152" s="691"/>
      <c r="HD152" s="691"/>
      <c r="HE152" s="691"/>
      <c r="HF152" s="691"/>
      <c r="HG152" s="691"/>
      <c r="HH152" s="691"/>
      <c r="HI152" s="691"/>
      <c r="HJ152" s="691"/>
      <c r="HK152" s="691"/>
      <c r="HL152" s="691"/>
      <c r="HM152" s="691"/>
      <c r="HN152" s="691"/>
      <c r="HO152" s="691"/>
      <c r="HP152" s="691"/>
      <c r="HQ152" s="691"/>
      <c r="HR152" s="691"/>
      <c r="HS152" s="691"/>
      <c r="HT152" s="691"/>
      <c r="HU152" s="691"/>
      <c r="HV152" s="691"/>
      <c r="HW152" s="691"/>
      <c r="HX152" s="691"/>
      <c r="HY152" s="691"/>
      <c r="HZ152" s="691"/>
      <c r="IA152" s="691"/>
      <c r="IB152" s="691"/>
      <c r="IC152" s="691"/>
      <c r="ID152" s="691"/>
      <c r="IE152" s="691"/>
      <c r="IF152" s="691"/>
      <c r="IG152" s="691"/>
      <c r="IH152" s="691"/>
      <c r="II152" s="691"/>
      <c r="IJ152" s="691"/>
      <c r="IK152" s="691"/>
      <c r="IL152" s="691"/>
      <c r="IM152" s="691"/>
      <c r="IN152" s="691"/>
    </row>
    <row r="153" spans="2:250" s="692" customFormat="1" ht="15.75">
      <c r="B153" s="706"/>
      <c r="C153" s="24" t="s">
        <v>2180</v>
      </c>
      <c r="D153" s="39">
        <v>20</v>
      </c>
      <c r="E153" s="41"/>
      <c r="F153" s="41"/>
      <c r="G153" s="41"/>
      <c r="H153" s="41"/>
      <c r="I153" s="41"/>
      <c r="J153" s="41"/>
      <c r="K153" s="41"/>
      <c r="L153" s="41"/>
      <c r="M153" s="41"/>
      <c r="N153" s="41"/>
      <c r="O153" s="41"/>
      <c r="P153" s="41"/>
      <c r="Q153" s="41"/>
      <c r="R153" s="41"/>
      <c r="S153" s="41"/>
      <c r="T153" s="691"/>
      <c r="U153" s="691"/>
      <c r="V153" s="691"/>
      <c r="W153" s="691"/>
      <c r="X153" s="691"/>
      <c r="Y153" s="691"/>
      <c r="Z153" s="691"/>
      <c r="AA153" s="691"/>
      <c r="AB153" s="691"/>
      <c r="AC153" s="691"/>
      <c r="AD153" s="691"/>
      <c r="AE153" s="691"/>
      <c r="AF153" s="691"/>
      <c r="AG153" s="691"/>
      <c r="AH153" s="691"/>
      <c r="AI153" s="691"/>
      <c r="AJ153" s="691"/>
      <c r="AK153" s="691"/>
      <c r="AL153" s="691"/>
      <c r="AM153" s="691"/>
      <c r="AN153" s="691"/>
      <c r="AO153" s="691"/>
      <c r="AP153" s="691"/>
      <c r="AQ153" s="691"/>
      <c r="AR153" s="691"/>
      <c r="AS153" s="691"/>
      <c r="AT153" s="691"/>
      <c r="AU153" s="691"/>
      <c r="AV153" s="691"/>
      <c r="AW153" s="691"/>
      <c r="AX153" s="691"/>
      <c r="AY153" s="691"/>
      <c r="AZ153" s="691"/>
      <c r="BA153" s="691"/>
      <c r="BB153" s="691"/>
      <c r="BC153" s="691"/>
      <c r="BD153" s="691"/>
      <c r="BE153" s="691"/>
      <c r="BF153" s="691"/>
      <c r="BG153" s="691"/>
      <c r="BH153" s="691"/>
      <c r="BI153" s="691"/>
      <c r="BJ153" s="691"/>
      <c r="BK153" s="691"/>
      <c r="BL153" s="691"/>
      <c r="BM153" s="691"/>
      <c r="BN153" s="691"/>
      <c r="BO153" s="691"/>
      <c r="BP153" s="691"/>
      <c r="BQ153" s="691"/>
      <c r="BR153" s="691"/>
      <c r="BS153" s="691"/>
      <c r="BT153" s="691"/>
      <c r="BU153" s="691"/>
      <c r="BV153" s="691"/>
      <c r="BW153" s="691"/>
      <c r="BX153" s="691"/>
      <c r="BY153" s="691"/>
      <c r="BZ153" s="691"/>
      <c r="CA153" s="691"/>
      <c r="CB153" s="691"/>
      <c r="CC153" s="691"/>
      <c r="CD153" s="691"/>
      <c r="CE153" s="691"/>
      <c r="CF153" s="691"/>
      <c r="CG153" s="691"/>
      <c r="CH153" s="691"/>
      <c r="CI153" s="691"/>
      <c r="CJ153" s="691"/>
      <c r="CK153" s="691"/>
      <c r="CL153" s="691"/>
      <c r="CM153" s="691"/>
      <c r="CN153" s="691"/>
      <c r="CO153" s="691"/>
      <c r="CP153" s="691"/>
      <c r="CQ153" s="691"/>
      <c r="CR153" s="691"/>
      <c r="CS153" s="691"/>
      <c r="CT153" s="691"/>
      <c r="CU153" s="691"/>
      <c r="CV153" s="691"/>
      <c r="CW153" s="691"/>
      <c r="CX153" s="691"/>
      <c r="CY153" s="691"/>
      <c r="CZ153" s="691"/>
      <c r="DA153" s="691"/>
      <c r="DB153" s="691"/>
      <c r="DC153" s="691"/>
      <c r="DD153" s="691"/>
      <c r="DE153" s="691"/>
      <c r="DF153" s="691"/>
      <c r="DG153" s="691"/>
      <c r="DH153" s="691"/>
      <c r="DI153" s="691"/>
      <c r="DJ153" s="691"/>
      <c r="DK153" s="691"/>
      <c r="DL153" s="691"/>
      <c r="DM153" s="691"/>
      <c r="DN153" s="691"/>
      <c r="DO153" s="691"/>
      <c r="DP153" s="691"/>
      <c r="DQ153" s="691"/>
      <c r="DR153" s="691"/>
      <c r="DS153" s="691"/>
      <c r="DT153" s="691"/>
      <c r="DU153" s="691"/>
      <c r="DV153" s="691"/>
      <c r="DW153" s="691"/>
      <c r="DX153" s="691"/>
      <c r="DY153" s="691"/>
      <c r="DZ153" s="691"/>
      <c r="EA153" s="691"/>
      <c r="EB153" s="691"/>
      <c r="EC153" s="691"/>
      <c r="ED153" s="691"/>
      <c r="EE153" s="691"/>
      <c r="EF153" s="691"/>
      <c r="EG153" s="691"/>
      <c r="EH153" s="691"/>
      <c r="EI153" s="691"/>
      <c r="EJ153" s="691"/>
      <c r="EK153" s="691"/>
      <c r="EL153" s="691"/>
      <c r="EM153" s="691"/>
      <c r="EN153" s="691"/>
      <c r="EO153" s="691"/>
      <c r="EP153" s="691"/>
      <c r="EQ153" s="691"/>
      <c r="ER153" s="691"/>
      <c r="ES153" s="691"/>
      <c r="ET153" s="691"/>
      <c r="EU153" s="691"/>
      <c r="EV153" s="691"/>
      <c r="EW153" s="691"/>
      <c r="EX153" s="691"/>
      <c r="EY153" s="691"/>
      <c r="EZ153" s="691"/>
      <c r="FA153" s="691"/>
      <c r="FB153" s="691"/>
      <c r="FC153" s="691"/>
      <c r="FD153" s="691"/>
      <c r="FE153" s="691"/>
      <c r="FF153" s="691"/>
      <c r="FG153" s="691"/>
      <c r="FH153" s="691"/>
      <c r="FI153" s="691"/>
      <c r="FJ153" s="691"/>
      <c r="FK153" s="691"/>
      <c r="FL153" s="691"/>
      <c r="FM153" s="691"/>
      <c r="FN153" s="691"/>
      <c r="FO153" s="691"/>
      <c r="FP153" s="691"/>
      <c r="FQ153" s="691"/>
      <c r="FR153" s="691"/>
      <c r="FS153" s="691"/>
      <c r="FT153" s="691"/>
      <c r="FU153" s="691"/>
      <c r="FV153" s="691"/>
      <c r="FW153" s="691"/>
      <c r="FX153" s="691"/>
      <c r="FY153" s="691"/>
      <c r="FZ153" s="691"/>
      <c r="GA153" s="691"/>
      <c r="GB153" s="691"/>
      <c r="GC153" s="691"/>
      <c r="GD153" s="691"/>
      <c r="GE153" s="691"/>
      <c r="GF153" s="691"/>
      <c r="GG153" s="691"/>
      <c r="GH153" s="691"/>
      <c r="GI153" s="691"/>
      <c r="GJ153" s="691"/>
      <c r="GK153" s="691"/>
      <c r="GL153" s="691"/>
      <c r="GM153" s="691"/>
      <c r="GN153" s="691"/>
      <c r="GO153" s="691"/>
      <c r="GP153" s="691"/>
      <c r="GQ153" s="691"/>
      <c r="GR153" s="691"/>
      <c r="GS153" s="691"/>
      <c r="GT153" s="691"/>
      <c r="GU153" s="691"/>
      <c r="GV153" s="691"/>
      <c r="GW153" s="691"/>
      <c r="GX153" s="691"/>
      <c r="GY153" s="691"/>
      <c r="GZ153" s="691"/>
      <c r="HA153" s="691"/>
      <c r="HB153" s="691"/>
      <c r="HC153" s="691"/>
      <c r="HD153" s="691"/>
      <c r="HE153" s="691"/>
      <c r="HF153" s="691"/>
      <c r="HG153" s="691"/>
      <c r="HH153" s="691"/>
      <c r="HI153" s="691"/>
      <c r="HJ153" s="691"/>
      <c r="HK153" s="691"/>
      <c r="HL153" s="691"/>
      <c r="HM153" s="691"/>
      <c r="HN153" s="691"/>
      <c r="HO153" s="691"/>
      <c r="HP153" s="691"/>
      <c r="HQ153" s="691"/>
      <c r="HR153" s="691"/>
      <c r="HS153" s="691"/>
      <c r="HT153" s="691"/>
      <c r="HU153" s="691"/>
      <c r="HV153" s="691"/>
      <c r="HW153" s="691"/>
      <c r="HX153" s="691"/>
      <c r="HY153" s="691"/>
      <c r="HZ153" s="691"/>
      <c r="IA153" s="691"/>
      <c r="IB153" s="691"/>
      <c r="IC153" s="691"/>
      <c r="ID153" s="691"/>
      <c r="IE153" s="691"/>
      <c r="IF153" s="691"/>
      <c r="IG153" s="691"/>
      <c r="IH153" s="691"/>
      <c r="II153" s="691"/>
      <c r="IJ153" s="691"/>
      <c r="IK153" s="691"/>
      <c r="IL153" s="691"/>
      <c r="IM153" s="691"/>
      <c r="IN153" s="691"/>
    </row>
    <row r="154" spans="2:250" s="692" customFormat="1" ht="15.75">
      <c r="B154" s="706"/>
      <c r="C154" s="24" t="s">
        <v>2181</v>
      </c>
      <c r="D154" s="39">
        <v>100</v>
      </c>
      <c r="E154" s="41"/>
      <c r="F154" s="41"/>
      <c r="G154" s="41"/>
      <c r="H154" s="41"/>
      <c r="I154" s="41"/>
      <c r="J154" s="41"/>
      <c r="K154" s="41"/>
      <c r="L154" s="41"/>
      <c r="M154" s="41"/>
      <c r="N154" s="41"/>
      <c r="O154" s="41"/>
      <c r="P154" s="41"/>
      <c r="Q154" s="41"/>
      <c r="R154" s="41"/>
      <c r="S154" s="41"/>
      <c r="T154" s="691"/>
      <c r="U154" s="691"/>
      <c r="V154" s="691"/>
      <c r="W154" s="691"/>
      <c r="X154" s="691"/>
      <c r="Y154" s="691"/>
      <c r="Z154" s="691"/>
      <c r="AA154" s="691"/>
      <c r="AB154" s="691"/>
      <c r="AC154" s="691"/>
      <c r="AD154" s="691"/>
      <c r="AE154" s="691"/>
      <c r="AF154" s="691"/>
      <c r="AG154" s="691"/>
      <c r="AH154" s="691"/>
      <c r="AI154" s="691"/>
      <c r="AJ154" s="691"/>
      <c r="AK154" s="691"/>
      <c r="AL154" s="691"/>
      <c r="AM154" s="691"/>
      <c r="AN154" s="691"/>
      <c r="AO154" s="691"/>
      <c r="AP154" s="691"/>
      <c r="AQ154" s="691"/>
      <c r="AR154" s="691"/>
      <c r="AS154" s="691"/>
      <c r="AT154" s="691"/>
      <c r="AU154" s="691"/>
      <c r="AV154" s="691"/>
      <c r="AW154" s="691"/>
      <c r="AX154" s="691"/>
      <c r="AY154" s="691"/>
      <c r="AZ154" s="691"/>
      <c r="BA154" s="691"/>
      <c r="BB154" s="691"/>
      <c r="BC154" s="691"/>
      <c r="BD154" s="691"/>
      <c r="BE154" s="691"/>
      <c r="BF154" s="691"/>
      <c r="BG154" s="691"/>
      <c r="BH154" s="691"/>
      <c r="BI154" s="691"/>
      <c r="BJ154" s="691"/>
      <c r="BK154" s="691"/>
      <c r="BL154" s="691"/>
      <c r="BM154" s="691"/>
      <c r="BN154" s="691"/>
      <c r="BO154" s="691"/>
      <c r="BP154" s="691"/>
      <c r="BQ154" s="691"/>
      <c r="BR154" s="691"/>
      <c r="BS154" s="691"/>
      <c r="BT154" s="691"/>
      <c r="BU154" s="691"/>
      <c r="BV154" s="691"/>
      <c r="BW154" s="691"/>
      <c r="BX154" s="691"/>
      <c r="BY154" s="691"/>
      <c r="BZ154" s="691"/>
      <c r="CA154" s="691"/>
      <c r="CB154" s="691"/>
      <c r="CC154" s="691"/>
      <c r="CD154" s="691"/>
      <c r="CE154" s="691"/>
      <c r="CF154" s="691"/>
      <c r="CG154" s="691"/>
      <c r="CH154" s="691"/>
      <c r="CI154" s="691"/>
      <c r="CJ154" s="691"/>
      <c r="CK154" s="691"/>
      <c r="CL154" s="691"/>
      <c r="CM154" s="691"/>
      <c r="CN154" s="691"/>
      <c r="CO154" s="691"/>
      <c r="CP154" s="691"/>
      <c r="CQ154" s="691"/>
      <c r="CR154" s="691"/>
      <c r="CS154" s="691"/>
      <c r="CT154" s="691"/>
      <c r="CU154" s="691"/>
      <c r="CV154" s="691"/>
      <c r="CW154" s="691"/>
      <c r="CX154" s="691"/>
      <c r="CY154" s="691"/>
      <c r="CZ154" s="691"/>
      <c r="DA154" s="691"/>
      <c r="DB154" s="691"/>
      <c r="DC154" s="691"/>
      <c r="DD154" s="691"/>
      <c r="DE154" s="691"/>
      <c r="DF154" s="691"/>
      <c r="DG154" s="691"/>
      <c r="DH154" s="691"/>
      <c r="DI154" s="691"/>
      <c r="DJ154" s="691"/>
      <c r="DK154" s="691"/>
      <c r="DL154" s="691"/>
      <c r="DM154" s="691"/>
      <c r="DN154" s="691"/>
      <c r="DO154" s="691"/>
      <c r="DP154" s="691"/>
      <c r="DQ154" s="691"/>
      <c r="DR154" s="691"/>
      <c r="DS154" s="691"/>
      <c r="DT154" s="691"/>
      <c r="DU154" s="691"/>
      <c r="DV154" s="691"/>
      <c r="DW154" s="691"/>
      <c r="DX154" s="691"/>
      <c r="DY154" s="691"/>
      <c r="DZ154" s="691"/>
      <c r="EA154" s="691"/>
      <c r="EB154" s="691"/>
      <c r="EC154" s="691"/>
      <c r="ED154" s="691"/>
      <c r="EE154" s="691"/>
      <c r="EF154" s="691"/>
      <c r="EG154" s="691"/>
      <c r="EH154" s="691"/>
      <c r="EI154" s="691"/>
      <c r="EJ154" s="691"/>
      <c r="EK154" s="691"/>
      <c r="EL154" s="691"/>
      <c r="EM154" s="691"/>
      <c r="EN154" s="691"/>
      <c r="EO154" s="691"/>
      <c r="EP154" s="691"/>
      <c r="EQ154" s="691"/>
      <c r="ER154" s="691"/>
      <c r="ES154" s="691"/>
      <c r="ET154" s="691"/>
      <c r="EU154" s="691"/>
      <c r="EV154" s="691"/>
      <c r="EW154" s="691"/>
      <c r="EX154" s="691"/>
      <c r="EY154" s="691"/>
      <c r="EZ154" s="691"/>
      <c r="FA154" s="691"/>
      <c r="FB154" s="691"/>
      <c r="FC154" s="691"/>
      <c r="FD154" s="691"/>
      <c r="FE154" s="691"/>
      <c r="FF154" s="691"/>
      <c r="FG154" s="691"/>
      <c r="FH154" s="691"/>
      <c r="FI154" s="691"/>
      <c r="FJ154" s="691"/>
      <c r="FK154" s="691"/>
      <c r="FL154" s="691"/>
      <c r="FM154" s="691"/>
      <c r="FN154" s="691"/>
      <c r="FO154" s="691"/>
      <c r="FP154" s="691"/>
      <c r="FQ154" s="691"/>
      <c r="FR154" s="691"/>
      <c r="FS154" s="691"/>
      <c r="FT154" s="691"/>
      <c r="FU154" s="691"/>
      <c r="FV154" s="691"/>
      <c r="FW154" s="691"/>
      <c r="FX154" s="691"/>
      <c r="FY154" s="691"/>
      <c r="FZ154" s="691"/>
      <c r="GA154" s="691"/>
      <c r="GB154" s="691"/>
      <c r="GC154" s="691"/>
      <c r="GD154" s="691"/>
      <c r="GE154" s="691"/>
      <c r="GF154" s="691"/>
      <c r="GG154" s="691"/>
      <c r="GH154" s="691"/>
      <c r="GI154" s="691"/>
      <c r="GJ154" s="691"/>
      <c r="GK154" s="691"/>
      <c r="GL154" s="691"/>
      <c r="GM154" s="691"/>
      <c r="GN154" s="691"/>
      <c r="GO154" s="691"/>
      <c r="GP154" s="691"/>
      <c r="GQ154" s="691"/>
      <c r="GR154" s="691"/>
      <c r="GS154" s="691"/>
      <c r="GT154" s="691"/>
      <c r="GU154" s="691"/>
      <c r="GV154" s="691"/>
      <c r="GW154" s="691"/>
      <c r="GX154" s="691"/>
      <c r="GY154" s="691"/>
      <c r="GZ154" s="691"/>
      <c r="HA154" s="691"/>
      <c r="HB154" s="691"/>
      <c r="HC154" s="691"/>
      <c r="HD154" s="691"/>
      <c r="HE154" s="691"/>
      <c r="HF154" s="691"/>
      <c r="HG154" s="691"/>
      <c r="HH154" s="691"/>
      <c r="HI154" s="691"/>
      <c r="HJ154" s="691"/>
      <c r="HK154" s="691"/>
      <c r="HL154" s="691"/>
      <c r="HM154" s="691"/>
      <c r="HN154" s="691"/>
      <c r="HO154" s="691"/>
      <c r="HP154" s="691"/>
      <c r="HQ154" s="691"/>
      <c r="HR154" s="691"/>
      <c r="HS154" s="691"/>
      <c r="HT154" s="691"/>
      <c r="HU154" s="691"/>
      <c r="HV154" s="691"/>
      <c r="HW154" s="691"/>
      <c r="HX154" s="691"/>
      <c r="HY154" s="691"/>
      <c r="HZ154" s="691"/>
      <c r="IA154" s="691"/>
      <c r="IB154" s="691"/>
      <c r="IC154" s="691"/>
      <c r="ID154" s="691"/>
      <c r="IE154" s="691"/>
      <c r="IF154" s="691"/>
      <c r="IG154" s="691"/>
      <c r="IH154" s="691"/>
      <c r="II154" s="691"/>
      <c r="IJ154" s="691"/>
      <c r="IK154" s="691"/>
      <c r="IL154" s="691"/>
      <c r="IM154" s="691"/>
      <c r="IN154" s="691"/>
    </row>
    <row r="155" spans="2:250" s="692" customFormat="1" ht="15.75">
      <c r="B155" s="706"/>
      <c r="C155" s="24" t="s">
        <v>2182</v>
      </c>
      <c r="D155" s="39">
        <v>100</v>
      </c>
      <c r="E155" s="41"/>
      <c r="F155" s="41"/>
      <c r="G155" s="41"/>
      <c r="H155" s="41"/>
      <c r="I155" s="41"/>
      <c r="J155" s="41"/>
      <c r="K155" s="41"/>
      <c r="L155" s="41"/>
      <c r="M155" s="41"/>
      <c r="N155" s="41"/>
      <c r="O155" s="41"/>
      <c r="P155" s="41"/>
      <c r="Q155" s="41"/>
      <c r="R155" s="41"/>
      <c r="S155" s="41"/>
      <c r="T155" s="691"/>
      <c r="U155" s="691"/>
      <c r="V155" s="691"/>
      <c r="W155" s="691"/>
      <c r="X155" s="691"/>
      <c r="Y155" s="691"/>
      <c r="Z155" s="691"/>
      <c r="AA155" s="691"/>
      <c r="AB155" s="691"/>
      <c r="AC155" s="691"/>
      <c r="AD155" s="691"/>
      <c r="AE155" s="691"/>
      <c r="AF155" s="691"/>
      <c r="AG155" s="691"/>
      <c r="AH155" s="691"/>
      <c r="AI155" s="691"/>
      <c r="AJ155" s="691"/>
      <c r="AK155" s="691"/>
      <c r="AL155" s="691"/>
      <c r="AM155" s="691"/>
      <c r="AN155" s="691"/>
      <c r="AO155" s="691"/>
      <c r="AP155" s="691"/>
      <c r="AQ155" s="691"/>
      <c r="AR155" s="691"/>
      <c r="AS155" s="691"/>
      <c r="AT155" s="691"/>
      <c r="AU155" s="691"/>
      <c r="AV155" s="691"/>
      <c r="AW155" s="691"/>
      <c r="AX155" s="691"/>
      <c r="AY155" s="691"/>
      <c r="AZ155" s="691"/>
      <c r="BA155" s="691"/>
      <c r="BB155" s="691"/>
      <c r="BC155" s="691"/>
      <c r="BD155" s="691"/>
      <c r="BE155" s="691"/>
      <c r="BF155" s="691"/>
      <c r="BG155" s="691"/>
      <c r="BH155" s="691"/>
      <c r="BI155" s="691"/>
      <c r="BJ155" s="691"/>
      <c r="BK155" s="691"/>
      <c r="BL155" s="691"/>
      <c r="BM155" s="691"/>
      <c r="BN155" s="691"/>
      <c r="BO155" s="691"/>
      <c r="BP155" s="691"/>
      <c r="BQ155" s="691"/>
      <c r="BR155" s="691"/>
      <c r="BS155" s="691"/>
      <c r="BT155" s="691"/>
      <c r="BU155" s="691"/>
      <c r="BV155" s="691"/>
      <c r="BW155" s="691"/>
      <c r="BX155" s="691"/>
      <c r="BY155" s="691"/>
      <c r="BZ155" s="691"/>
      <c r="CA155" s="691"/>
      <c r="CB155" s="691"/>
      <c r="CC155" s="691"/>
      <c r="CD155" s="691"/>
      <c r="CE155" s="691"/>
      <c r="CF155" s="691"/>
      <c r="CG155" s="691"/>
      <c r="CH155" s="691"/>
      <c r="CI155" s="691"/>
      <c r="CJ155" s="691"/>
      <c r="CK155" s="691"/>
      <c r="CL155" s="691"/>
      <c r="CM155" s="691"/>
      <c r="CN155" s="691"/>
      <c r="CO155" s="691"/>
      <c r="CP155" s="691"/>
      <c r="CQ155" s="691"/>
      <c r="CR155" s="691"/>
      <c r="CS155" s="691"/>
      <c r="CT155" s="691"/>
      <c r="CU155" s="691"/>
      <c r="CV155" s="691"/>
      <c r="CW155" s="691"/>
      <c r="CX155" s="691"/>
      <c r="CY155" s="691"/>
      <c r="CZ155" s="691"/>
      <c r="DA155" s="691"/>
      <c r="DB155" s="691"/>
      <c r="DC155" s="691"/>
      <c r="DD155" s="691"/>
      <c r="DE155" s="691"/>
      <c r="DF155" s="691"/>
      <c r="DG155" s="691"/>
      <c r="DH155" s="691"/>
      <c r="DI155" s="691"/>
      <c r="DJ155" s="691"/>
      <c r="DK155" s="691"/>
      <c r="DL155" s="691"/>
      <c r="DM155" s="691"/>
      <c r="DN155" s="691"/>
      <c r="DO155" s="691"/>
      <c r="DP155" s="691"/>
      <c r="DQ155" s="691"/>
      <c r="DR155" s="691"/>
      <c r="DS155" s="691"/>
      <c r="DT155" s="691"/>
      <c r="DU155" s="691"/>
      <c r="DV155" s="691"/>
      <c r="DW155" s="691"/>
      <c r="DX155" s="691"/>
      <c r="DY155" s="691"/>
      <c r="DZ155" s="691"/>
      <c r="EA155" s="691"/>
      <c r="EB155" s="691"/>
      <c r="EC155" s="691"/>
      <c r="ED155" s="691"/>
      <c r="EE155" s="691"/>
      <c r="EF155" s="691"/>
      <c r="EG155" s="691"/>
      <c r="EH155" s="691"/>
      <c r="EI155" s="691"/>
      <c r="EJ155" s="691"/>
      <c r="EK155" s="691"/>
      <c r="EL155" s="691"/>
      <c r="EM155" s="691"/>
      <c r="EN155" s="691"/>
      <c r="EO155" s="691"/>
      <c r="EP155" s="691"/>
      <c r="EQ155" s="691"/>
      <c r="ER155" s="691"/>
      <c r="ES155" s="691"/>
      <c r="ET155" s="691"/>
      <c r="EU155" s="691"/>
      <c r="EV155" s="691"/>
      <c r="EW155" s="691"/>
      <c r="EX155" s="691"/>
      <c r="EY155" s="691"/>
      <c r="EZ155" s="691"/>
      <c r="FA155" s="691"/>
      <c r="FB155" s="691"/>
      <c r="FC155" s="691"/>
      <c r="FD155" s="691"/>
      <c r="FE155" s="691"/>
      <c r="FF155" s="691"/>
      <c r="FG155" s="691"/>
      <c r="FH155" s="691"/>
      <c r="FI155" s="691"/>
      <c r="FJ155" s="691"/>
      <c r="FK155" s="691"/>
      <c r="FL155" s="691"/>
      <c r="FM155" s="691"/>
      <c r="FN155" s="691"/>
      <c r="FO155" s="691"/>
      <c r="FP155" s="691"/>
      <c r="FQ155" s="691"/>
      <c r="FR155" s="691"/>
      <c r="FS155" s="691"/>
      <c r="FT155" s="691"/>
      <c r="FU155" s="691"/>
      <c r="FV155" s="691"/>
      <c r="FW155" s="691"/>
      <c r="FX155" s="691"/>
      <c r="FY155" s="691"/>
      <c r="FZ155" s="691"/>
      <c r="GA155" s="691"/>
      <c r="GB155" s="691"/>
      <c r="GC155" s="691"/>
      <c r="GD155" s="691"/>
      <c r="GE155" s="691"/>
      <c r="GF155" s="691"/>
      <c r="GG155" s="691"/>
      <c r="GH155" s="691"/>
      <c r="GI155" s="691"/>
      <c r="GJ155" s="691"/>
      <c r="GK155" s="691"/>
      <c r="GL155" s="691"/>
      <c r="GM155" s="691"/>
      <c r="GN155" s="691"/>
      <c r="GO155" s="691"/>
      <c r="GP155" s="691"/>
      <c r="GQ155" s="691"/>
      <c r="GR155" s="691"/>
      <c r="GS155" s="691"/>
      <c r="GT155" s="691"/>
      <c r="GU155" s="691"/>
      <c r="GV155" s="691"/>
      <c r="GW155" s="691"/>
      <c r="GX155" s="691"/>
      <c r="GY155" s="691"/>
      <c r="GZ155" s="691"/>
      <c r="HA155" s="691"/>
      <c r="HB155" s="691"/>
      <c r="HC155" s="691"/>
      <c r="HD155" s="691"/>
      <c r="HE155" s="691"/>
      <c r="HF155" s="691"/>
      <c r="HG155" s="691"/>
      <c r="HH155" s="691"/>
      <c r="HI155" s="691"/>
      <c r="HJ155" s="691"/>
      <c r="HK155" s="691"/>
      <c r="HL155" s="691"/>
      <c r="HM155" s="691"/>
      <c r="HN155" s="691"/>
      <c r="HO155" s="691"/>
      <c r="HP155" s="691"/>
      <c r="HQ155" s="691"/>
      <c r="HR155" s="691"/>
      <c r="HS155" s="691"/>
      <c r="HT155" s="691"/>
      <c r="HU155" s="691"/>
      <c r="HV155" s="691"/>
      <c r="HW155" s="691"/>
      <c r="HX155" s="691"/>
      <c r="HY155" s="691"/>
      <c r="HZ155" s="691"/>
      <c r="IA155" s="691"/>
      <c r="IB155" s="691"/>
      <c r="IC155" s="691"/>
      <c r="ID155" s="691"/>
      <c r="IE155" s="691"/>
      <c r="IF155" s="691"/>
      <c r="IG155" s="691"/>
      <c r="IH155" s="691"/>
      <c r="II155" s="691"/>
      <c r="IJ155" s="691"/>
      <c r="IK155" s="691"/>
      <c r="IL155" s="691"/>
      <c r="IM155" s="691"/>
      <c r="IN155" s="691"/>
    </row>
    <row r="156" spans="2:250" s="692" customFormat="1" ht="15.75">
      <c r="B156" s="706"/>
      <c r="C156" s="24" t="s">
        <v>2183</v>
      </c>
      <c r="D156" s="39">
        <v>100</v>
      </c>
      <c r="E156" s="41"/>
      <c r="F156" s="41"/>
      <c r="G156" s="41"/>
      <c r="H156" s="41"/>
      <c r="I156" s="41"/>
      <c r="J156" s="41"/>
      <c r="K156" s="41"/>
      <c r="L156" s="41"/>
      <c r="M156" s="41"/>
      <c r="N156" s="41"/>
      <c r="O156" s="41"/>
      <c r="P156" s="41"/>
      <c r="Q156" s="41"/>
      <c r="R156" s="41"/>
      <c r="S156" s="41"/>
      <c r="T156" s="691"/>
      <c r="U156" s="691"/>
      <c r="V156" s="691"/>
      <c r="W156" s="691"/>
      <c r="X156" s="691"/>
      <c r="Y156" s="691"/>
      <c r="Z156" s="691"/>
      <c r="AA156" s="691"/>
      <c r="AB156" s="691"/>
      <c r="AC156" s="691"/>
      <c r="AD156" s="691"/>
      <c r="AE156" s="691"/>
      <c r="AF156" s="691"/>
      <c r="AG156" s="691"/>
      <c r="AH156" s="691"/>
      <c r="AI156" s="691"/>
      <c r="AJ156" s="691"/>
      <c r="AK156" s="691"/>
      <c r="AL156" s="691"/>
      <c r="AM156" s="691"/>
      <c r="AN156" s="691"/>
      <c r="AO156" s="691"/>
      <c r="AP156" s="691"/>
      <c r="AQ156" s="691"/>
      <c r="AR156" s="691"/>
      <c r="AS156" s="691"/>
      <c r="AT156" s="691"/>
      <c r="AU156" s="691"/>
      <c r="AV156" s="691"/>
      <c r="AW156" s="691"/>
      <c r="AX156" s="691"/>
      <c r="AY156" s="691"/>
      <c r="AZ156" s="691"/>
      <c r="BA156" s="691"/>
      <c r="BB156" s="691"/>
      <c r="BC156" s="691"/>
      <c r="BD156" s="691"/>
      <c r="BE156" s="691"/>
      <c r="BF156" s="691"/>
      <c r="BG156" s="691"/>
      <c r="BH156" s="691"/>
      <c r="BI156" s="691"/>
      <c r="BJ156" s="691"/>
      <c r="BK156" s="691"/>
      <c r="BL156" s="691"/>
      <c r="BM156" s="691"/>
      <c r="BN156" s="691"/>
      <c r="BO156" s="691"/>
      <c r="BP156" s="691"/>
      <c r="BQ156" s="691"/>
      <c r="BR156" s="691"/>
      <c r="BS156" s="691"/>
      <c r="BT156" s="691"/>
      <c r="BU156" s="691"/>
      <c r="BV156" s="691"/>
      <c r="BW156" s="691"/>
      <c r="BX156" s="691"/>
      <c r="BY156" s="691"/>
      <c r="BZ156" s="691"/>
      <c r="CA156" s="691"/>
      <c r="CB156" s="691"/>
      <c r="CC156" s="691"/>
      <c r="CD156" s="691"/>
      <c r="CE156" s="691"/>
      <c r="CF156" s="691"/>
      <c r="CG156" s="691"/>
      <c r="CH156" s="691"/>
      <c r="CI156" s="691"/>
      <c r="CJ156" s="691"/>
      <c r="CK156" s="691"/>
      <c r="CL156" s="691"/>
      <c r="CM156" s="691"/>
      <c r="CN156" s="691"/>
      <c r="CO156" s="691"/>
      <c r="CP156" s="691"/>
      <c r="CQ156" s="691"/>
      <c r="CR156" s="691"/>
      <c r="CS156" s="691"/>
      <c r="CT156" s="691"/>
      <c r="CU156" s="691"/>
      <c r="CV156" s="691"/>
      <c r="CW156" s="691"/>
      <c r="CX156" s="691"/>
      <c r="CY156" s="691"/>
      <c r="CZ156" s="691"/>
      <c r="DA156" s="691"/>
      <c r="DB156" s="691"/>
      <c r="DC156" s="691"/>
      <c r="DD156" s="691"/>
      <c r="DE156" s="691"/>
      <c r="DF156" s="691"/>
      <c r="DG156" s="691"/>
      <c r="DH156" s="691"/>
      <c r="DI156" s="691"/>
      <c r="DJ156" s="691"/>
      <c r="DK156" s="691"/>
      <c r="DL156" s="691"/>
      <c r="DM156" s="691"/>
      <c r="DN156" s="691"/>
      <c r="DO156" s="691"/>
      <c r="DP156" s="691"/>
      <c r="DQ156" s="691"/>
      <c r="DR156" s="691"/>
      <c r="DS156" s="691"/>
      <c r="DT156" s="691"/>
      <c r="DU156" s="691"/>
      <c r="DV156" s="691"/>
      <c r="DW156" s="691"/>
      <c r="DX156" s="691"/>
      <c r="DY156" s="691"/>
      <c r="DZ156" s="691"/>
      <c r="EA156" s="691"/>
      <c r="EB156" s="691"/>
      <c r="EC156" s="691"/>
      <c r="ED156" s="691"/>
      <c r="EE156" s="691"/>
      <c r="EF156" s="691"/>
      <c r="EG156" s="691"/>
      <c r="EH156" s="691"/>
      <c r="EI156" s="691"/>
      <c r="EJ156" s="691"/>
      <c r="EK156" s="691"/>
      <c r="EL156" s="691"/>
      <c r="EM156" s="691"/>
      <c r="EN156" s="691"/>
      <c r="EO156" s="691"/>
      <c r="EP156" s="691"/>
      <c r="EQ156" s="691"/>
      <c r="ER156" s="691"/>
      <c r="ES156" s="691"/>
      <c r="ET156" s="691"/>
      <c r="EU156" s="691"/>
      <c r="EV156" s="691"/>
      <c r="EW156" s="691"/>
      <c r="EX156" s="691"/>
      <c r="EY156" s="691"/>
      <c r="EZ156" s="691"/>
      <c r="FA156" s="691"/>
      <c r="FB156" s="691"/>
      <c r="FC156" s="691"/>
      <c r="FD156" s="691"/>
      <c r="FE156" s="691"/>
      <c r="FF156" s="691"/>
      <c r="FG156" s="691"/>
      <c r="FH156" s="691"/>
      <c r="FI156" s="691"/>
      <c r="FJ156" s="691"/>
      <c r="FK156" s="691"/>
      <c r="FL156" s="691"/>
      <c r="FM156" s="691"/>
      <c r="FN156" s="691"/>
      <c r="FO156" s="691"/>
      <c r="FP156" s="691"/>
      <c r="FQ156" s="691"/>
      <c r="FR156" s="691"/>
      <c r="FS156" s="691"/>
      <c r="FT156" s="691"/>
      <c r="FU156" s="691"/>
      <c r="FV156" s="691"/>
      <c r="FW156" s="691"/>
      <c r="FX156" s="691"/>
      <c r="FY156" s="691"/>
      <c r="FZ156" s="691"/>
      <c r="GA156" s="691"/>
      <c r="GB156" s="691"/>
      <c r="GC156" s="691"/>
      <c r="GD156" s="691"/>
      <c r="GE156" s="691"/>
      <c r="GF156" s="691"/>
      <c r="GG156" s="691"/>
      <c r="GH156" s="691"/>
      <c r="GI156" s="691"/>
      <c r="GJ156" s="691"/>
      <c r="GK156" s="691"/>
      <c r="GL156" s="691"/>
      <c r="GM156" s="691"/>
      <c r="GN156" s="691"/>
      <c r="GO156" s="691"/>
      <c r="GP156" s="691"/>
      <c r="GQ156" s="691"/>
      <c r="GR156" s="691"/>
      <c r="GS156" s="691"/>
      <c r="GT156" s="691"/>
      <c r="GU156" s="691"/>
      <c r="GV156" s="691"/>
      <c r="GW156" s="691"/>
      <c r="GX156" s="691"/>
      <c r="GY156" s="691"/>
      <c r="GZ156" s="691"/>
      <c r="HA156" s="691"/>
      <c r="HB156" s="691"/>
      <c r="HC156" s="691"/>
      <c r="HD156" s="691"/>
      <c r="HE156" s="691"/>
      <c r="HF156" s="691"/>
      <c r="HG156" s="691"/>
      <c r="HH156" s="691"/>
      <c r="HI156" s="691"/>
      <c r="HJ156" s="691"/>
      <c r="HK156" s="691"/>
      <c r="HL156" s="691"/>
      <c r="HM156" s="691"/>
      <c r="HN156" s="691"/>
      <c r="HO156" s="691"/>
      <c r="HP156" s="691"/>
      <c r="HQ156" s="691"/>
      <c r="HR156" s="691"/>
      <c r="HS156" s="691"/>
      <c r="HT156" s="691"/>
      <c r="HU156" s="691"/>
      <c r="HV156" s="691"/>
      <c r="HW156" s="691"/>
      <c r="HX156" s="691"/>
      <c r="HY156" s="691"/>
      <c r="HZ156" s="691"/>
      <c r="IA156" s="691"/>
      <c r="IB156" s="691"/>
      <c r="IC156" s="691"/>
      <c r="ID156" s="691"/>
      <c r="IE156" s="691"/>
      <c r="IF156" s="691"/>
      <c r="IG156" s="691"/>
      <c r="IH156" s="691"/>
      <c r="II156" s="691"/>
      <c r="IJ156" s="691"/>
      <c r="IK156" s="691"/>
      <c r="IL156" s="691"/>
      <c r="IM156" s="691"/>
      <c r="IN156" s="691"/>
    </row>
    <row r="157" spans="2:250" s="692" customFormat="1" ht="15.75">
      <c r="B157" s="706"/>
      <c r="C157" s="24" t="s">
        <v>2184</v>
      </c>
      <c r="D157" s="39">
        <v>100</v>
      </c>
      <c r="E157" s="41"/>
      <c r="F157" s="41"/>
      <c r="G157" s="41"/>
      <c r="H157" s="41"/>
      <c r="I157" s="41"/>
      <c r="J157" s="41"/>
      <c r="K157" s="41"/>
      <c r="L157" s="41"/>
      <c r="M157" s="41"/>
      <c r="N157" s="41"/>
      <c r="O157" s="41"/>
      <c r="P157" s="41"/>
      <c r="Q157" s="41"/>
      <c r="R157" s="41"/>
      <c r="S157" s="41"/>
      <c r="T157" s="691"/>
      <c r="U157" s="691"/>
      <c r="V157" s="691"/>
      <c r="W157" s="691"/>
      <c r="X157" s="691"/>
      <c r="Y157" s="691"/>
      <c r="Z157" s="691"/>
      <c r="AA157" s="691"/>
      <c r="AB157" s="691"/>
      <c r="AC157" s="691"/>
      <c r="AD157" s="691"/>
      <c r="AE157" s="691"/>
      <c r="AF157" s="691"/>
      <c r="AG157" s="691"/>
      <c r="AH157" s="691"/>
      <c r="AI157" s="691"/>
      <c r="AJ157" s="691"/>
      <c r="AK157" s="691"/>
      <c r="AL157" s="691"/>
      <c r="AM157" s="691"/>
      <c r="AN157" s="691"/>
      <c r="AO157" s="691"/>
      <c r="AP157" s="691"/>
      <c r="AQ157" s="691"/>
      <c r="AR157" s="691"/>
      <c r="AS157" s="691"/>
      <c r="AT157" s="691"/>
      <c r="AU157" s="691"/>
      <c r="AV157" s="691"/>
      <c r="AW157" s="691"/>
      <c r="AX157" s="691"/>
      <c r="AY157" s="691"/>
      <c r="AZ157" s="691"/>
      <c r="BA157" s="691"/>
      <c r="BB157" s="691"/>
      <c r="BC157" s="691"/>
      <c r="BD157" s="691"/>
      <c r="BE157" s="691"/>
      <c r="BF157" s="691"/>
      <c r="BG157" s="691"/>
      <c r="BH157" s="691"/>
      <c r="BI157" s="691"/>
      <c r="BJ157" s="691"/>
      <c r="BK157" s="691"/>
      <c r="BL157" s="691"/>
      <c r="BM157" s="691"/>
      <c r="BN157" s="691"/>
      <c r="BO157" s="691"/>
      <c r="BP157" s="691"/>
      <c r="BQ157" s="691"/>
      <c r="BR157" s="691"/>
      <c r="BS157" s="691"/>
      <c r="BT157" s="691"/>
      <c r="BU157" s="691"/>
      <c r="BV157" s="691"/>
      <c r="BW157" s="691"/>
      <c r="BX157" s="691"/>
      <c r="BY157" s="691"/>
      <c r="BZ157" s="691"/>
      <c r="CA157" s="691"/>
      <c r="CB157" s="691"/>
      <c r="CC157" s="691"/>
      <c r="CD157" s="691"/>
      <c r="CE157" s="691"/>
      <c r="CF157" s="691"/>
      <c r="CG157" s="691"/>
      <c r="CH157" s="691"/>
      <c r="CI157" s="691"/>
      <c r="CJ157" s="691"/>
      <c r="CK157" s="691"/>
      <c r="CL157" s="691"/>
      <c r="CM157" s="691"/>
      <c r="CN157" s="691"/>
      <c r="CO157" s="691"/>
      <c r="CP157" s="691"/>
      <c r="CQ157" s="691"/>
      <c r="CR157" s="691"/>
      <c r="CS157" s="691"/>
      <c r="CT157" s="691"/>
      <c r="CU157" s="691"/>
      <c r="CV157" s="691"/>
      <c r="CW157" s="691"/>
      <c r="CX157" s="691"/>
      <c r="CY157" s="691"/>
      <c r="CZ157" s="691"/>
      <c r="DA157" s="691"/>
      <c r="DB157" s="691"/>
      <c r="DC157" s="691"/>
      <c r="DD157" s="691"/>
      <c r="DE157" s="691"/>
      <c r="DF157" s="691"/>
      <c r="DG157" s="691"/>
      <c r="DH157" s="691"/>
      <c r="DI157" s="691"/>
      <c r="DJ157" s="691"/>
      <c r="DK157" s="691"/>
      <c r="DL157" s="691"/>
      <c r="DM157" s="691"/>
      <c r="DN157" s="691"/>
      <c r="DO157" s="691"/>
      <c r="DP157" s="691"/>
      <c r="DQ157" s="691"/>
      <c r="DR157" s="691"/>
      <c r="DS157" s="691"/>
      <c r="DT157" s="691"/>
      <c r="DU157" s="691"/>
      <c r="DV157" s="691"/>
      <c r="DW157" s="691"/>
      <c r="DX157" s="691"/>
      <c r="DY157" s="691"/>
      <c r="DZ157" s="691"/>
      <c r="EA157" s="691"/>
      <c r="EB157" s="691"/>
      <c r="EC157" s="691"/>
      <c r="ED157" s="691"/>
      <c r="EE157" s="691"/>
      <c r="EF157" s="691"/>
      <c r="EG157" s="691"/>
      <c r="EH157" s="691"/>
      <c r="EI157" s="691"/>
      <c r="EJ157" s="691"/>
      <c r="EK157" s="691"/>
      <c r="EL157" s="691"/>
      <c r="EM157" s="691"/>
      <c r="EN157" s="691"/>
      <c r="EO157" s="691"/>
      <c r="EP157" s="691"/>
      <c r="EQ157" s="691"/>
      <c r="ER157" s="691"/>
      <c r="ES157" s="691"/>
      <c r="ET157" s="691"/>
      <c r="EU157" s="691"/>
      <c r="EV157" s="691"/>
      <c r="EW157" s="691"/>
      <c r="EX157" s="691"/>
      <c r="EY157" s="691"/>
      <c r="EZ157" s="691"/>
      <c r="FA157" s="691"/>
      <c r="FB157" s="691"/>
      <c r="FC157" s="691"/>
      <c r="FD157" s="691"/>
      <c r="FE157" s="691"/>
      <c r="FF157" s="691"/>
      <c r="FG157" s="691"/>
      <c r="FH157" s="691"/>
      <c r="FI157" s="691"/>
      <c r="FJ157" s="691"/>
      <c r="FK157" s="691"/>
      <c r="FL157" s="691"/>
      <c r="FM157" s="691"/>
      <c r="FN157" s="691"/>
      <c r="FO157" s="691"/>
      <c r="FP157" s="691"/>
      <c r="FQ157" s="691"/>
      <c r="FR157" s="691"/>
      <c r="FS157" s="691"/>
      <c r="FT157" s="691"/>
      <c r="FU157" s="691"/>
      <c r="FV157" s="691"/>
      <c r="FW157" s="691"/>
      <c r="FX157" s="691"/>
      <c r="FY157" s="691"/>
      <c r="FZ157" s="691"/>
      <c r="GA157" s="691"/>
      <c r="GB157" s="691"/>
      <c r="GC157" s="691"/>
      <c r="GD157" s="691"/>
      <c r="GE157" s="691"/>
      <c r="GF157" s="691"/>
      <c r="GG157" s="691"/>
      <c r="GH157" s="691"/>
      <c r="GI157" s="691"/>
      <c r="GJ157" s="691"/>
      <c r="GK157" s="691"/>
      <c r="GL157" s="691"/>
      <c r="GM157" s="691"/>
      <c r="GN157" s="691"/>
      <c r="GO157" s="691"/>
      <c r="GP157" s="691"/>
      <c r="GQ157" s="691"/>
      <c r="GR157" s="691"/>
      <c r="GS157" s="691"/>
      <c r="GT157" s="691"/>
      <c r="GU157" s="691"/>
      <c r="GV157" s="691"/>
      <c r="GW157" s="691"/>
      <c r="GX157" s="691"/>
      <c r="GY157" s="691"/>
      <c r="GZ157" s="691"/>
      <c r="HA157" s="691"/>
      <c r="HB157" s="691"/>
      <c r="HC157" s="691"/>
      <c r="HD157" s="691"/>
      <c r="HE157" s="691"/>
      <c r="HF157" s="691"/>
      <c r="HG157" s="691"/>
      <c r="HH157" s="691"/>
      <c r="HI157" s="691"/>
      <c r="HJ157" s="691"/>
      <c r="HK157" s="691"/>
      <c r="HL157" s="691"/>
      <c r="HM157" s="691"/>
      <c r="HN157" s="691"/>
      <c r="HO157" s="691"/>
      <c r="HP157" s="691"/>
      <c r="HQ157" s="691"/>
      <c r="HR157" s="691"/>
      <c r="HS157" s="691"/>
      <c r="HT157" s="691"/>
      <c r="HU157" s="691"/>
      <c r="HV157" s="691"/>
      <c r="HW157" s="691"/>
      <c r="HX157" s="691"/>
      <c r="HY157" s="691"/>
      <c r="HZ157" s="691"/>
      <c r="IA157" s="691"/>
      <c r="IB157" s="691"/>
      <c r="IC157" s="691"/>
      <c r="ID157" s="691"/>
      <c r="IE157" s="691"/>
      <c r="IF157" s="691"/>
      <c r="IG157" s="691"/>
      <c r="IH157" s="691"/>
      <c r="II157" s="691"/>
      <c r="IJ157" s="691"/>
      <c r="IK157" s="691"/>
      <c r="IL157" s="691"/>
      <c r="IM157" s="691"/>
      <c r="IN157" s="691"/>
    </row>
    <row r="158" spans="2:250" s="692" customFormat="1" ht="15.75">
      <c r="B158" s="706"/>
      <c r="C158" s="24" t="s">
        <v>2185</v>
      </c>
      <c r="D158" s="39">
        <v>100</v>
      </c>
      <c r="E158" s="41"/>
      <c r="F158" s="41"/>
      <c r="G158" s="41"/>
      <c r="H158" s="41"/>
      <c r="I158" s="41"/>
      <c r="J158" s="41"/>
      <c r="K158" s="41"/>
      <c r="L158" s="41"/>
      <c r="M158" s="41"/>
      <c r="N158" s="41"/>
      <c r="O158" s="41"/>
      <c r="P158" s="41"/>
      <c r="Q158" s="41"/>
      <c r="R158" s="41"/>
      <c r="S158" s="41"/>
      <c r="T158" s="691"/>
      <c r="U158" s="691"/>
      <c r="V158" s="691"/>
      <c r="W158" s="691"/>
      <c r="X158" s="691"/>
      <c r="Y158" s="691"/>
      <c r="Z158" s="691"/>
      <c r="AA158" s="691"/>
      <c r="AB158" s="691"/>
      <c r="AC158" s="691"/>
      <c r="AD158" s="691"/>
      <c r="AE158" s="691"/>
      <c r="AF158" s="691"/>
      <c r="AG158" s="691"/>
      <c r="AH158" s="691"/>
      <c r="AI158" s="691"/>
      <c r="AJ158" s="691"/>
      <c r="AK158" s="691"/>
      <c r="AL158" s="691"/>
      <c r="AM158" s="691"/>
      <c r="AN158" s="691"/>
      <c r="AO158" s="691"/>
      <c r="AP158" s="691"/>
      <c r="AQ158" s="691"/>
      <c r="AR158" s="691"/>
      <c r="AS158" s="691"/>
      <c r="AT158" s="691"/>
      <c r="AU158" s="691"/>
      <c r="AV158" s="691"/>
      <c r="AW158" s="691"/>
      <c r="AX158" s="691"/>
      <c r="AY158" s="691"/>
      <c r="AZ158" s="691"/>
      <c r="BA158" s="691"/>
      <c r="BB158" s="691"/>
      <c r="BC158" s="691"/>
      <c r="BD158" s="691"/>
      <c r="BE158" s="691"/>
      <c r="BF158" s="691"/>
      <c r="BG158" s="691"/>
      <c r="BH158" s="691"/>
      <c r="BI158" s="691"/>
      <c r="BJ158" s="691"/>
      <c r="BK158" s="691"/>
      <c r="BL158" s="691"/>
      <c r="BM158" s="691"/>
      <c r="BN158" s="691"/>
      <c r="BO158" s="691"/>
      <c r="BP158" s="691"/>
      <c r="BQ158" s="691"/>
      <c r="BR158" s="691"/>
      <c r="BS158" s="691"/>
      <c r="BT158" s="691"/>
      <c r="BU158" s="691"/>
      <c r="BV158" s="691"/>
      <c r="BW158" s="691"/>
      <c r="BX158" s="691"/>
      <c r="BY158" s="691"/>
      <c r="BZ158" s="691"/>
      <c r="CA158" s="691"/>
      <c r="CB158" s="691"/>
      <c r="CC158" s="691"/>
      <c r="CD158" s="691"/>
      <c r="CE158" s="691"/>
      <c r="CF158" s="691"/>
      <c r="CG158" s="691"/>
      <c r="CH158" s="691"/>
      <c r="CI158" s="691"/>
      <c r="CJ158" s="691"/>
      <c r="CK158" s="691"/>
      <c r="CL158" s="691"/>
      <c r="CM158" s="691"/>
      <c r="CN158" s="691"/>
      <c r="CO158" s="691"/>
      <c r="CP158" s="691"/>
      <c r="CQ158" s="691"/>
      <c r="CR158" s="691"/>
      <c r="CS158" s="691"/>
      <c r="CT158" s="691"/>
      <c r="CU158" s="691"/>
      <c r="CV158" s="691"/>
      <c r="CW158" s="691"/>
      <c r="CX158" s="691"/>
      <c r="CY158" s="691"/>
      <c r="CZ158" s="691"/>
      <c r="DA158" s="691"/>
      <c r="DB158" s="691"/>
      <c r="DC158" s="691"/>
      <c r="DD158" s="691"/>
      <c r="DE158" s="691"/>
      <c r="DF158" s="691"/>
      <c r="DG158" s="691"/>
      <c r="DH158" s="691"/>
      <c r="DI158" s="691"/>
      <c r="DJ158" s="691"/>
      <c r="DK158" s="691"/>
      <c r="DL158" s="691"/>
      <c r="DM158" s="691"/>
      <c r="DN158" s="691"/>
      <c r="DO158" s="691"/>
      <c r="DP158" s="691"/>
      <c r="DQ158" s="691"/>
      <c r="DR158" s="691"/>
      <c r="DS158" s="691"/>
      <c r="DT158" s="691"/>
      <c r="DU158" s="691"/>
      <c r="DV158" s="691"/>
      <c r="DW158" s="691"/>
      <c r="DX158" s="691"/>
      <c r="DY158" s="691"/>
      <c r="DZ158" s="691"/>
      <c r="EA158" s="691"/>
      <c r="EB158" s="691"/>
      <c r="EC158" s="691"/>
      <c r="ED158" s="691"/>
      <c r="EE158" s="691"/>
      <c r="EF158" s="691"/>
      <c r="EG158" s="691"/>
      <c r="EH158" s="691"/>
      <c r="EI158" s="691"/>
      <c r="EJ158" s="691"/>
      <c r="EK158" s="691"/>
      <c r="EL158" s="691"/>
      <c r="EM158" s="691"/>
      <c r="EN158" s="691"/>
      <c r="EO158" s="691"/>
      <c r="EP158" s="691"/>
      <c r="EQ158" s="691"/>
      <c r="ER158" s="691"/>
      <c r="ES158" s="691"/>
      <c r="ET158" s="691"/>
      <c r="EU158" s="691"/>
      <c r="EV158" s="691"/>
      <c r="EW158" s="691"/>
      <c r="EX158" s="691"/>
      <c r="EY158" s="691"/>
      <c r="EZ158" s="691"/>
      <c r="FA158" s="691"/>
      <c r="FB158" s="691"/>
      <c r="FC158" s="691"/>
      <c r="FD158" s="691"/>
      <c r="FE158" s="691"/>
      <c r="FF158" s="691"/>
      <c r="FG158" s="691"/>
      <c r="FH158" s="691"/>
      <c r="FI158" s="691"/>
      <c r="FJ158" s="691"/>
      <c r="FK158" s="691"/>
      <c r="FL158" s="691"/>
      <c r="FM158" s="691"/>
      <c r="FN158" s="691"/>
      <c r="FO158" s="691"/>
      <c r="FP158" s="691"/>
      <c r="FQ158" s="691"/>
      <c r="FR158" s="691"/>
      <c r="FS158" s="691"/>
      <c r="FT158" s="691"/>
      <c r="FU158" s="691"/>
      <c r="FV158" s="691"/>
      <c r="FW158" s="691"/>
      <c r="FX158" s="691"/>
      <c r="FY158" s="691"/>
      <c r="FZ158" s="691"/>
      <c r="GA158" s="691"/>
      <c r="GB158" s="691"/>
      <c r="GC158" s="691"/>
      <c r="GD158" s="691"/>
      <c r="GE158" s="691"/>
      <c r="GF158" s="691"/>
      <c r="GG158" s="691"/>
      <c r="GH158" s="691"/>
      <c r="GI158" s="691"/>
      <c r="GJ158" s="691"/>
      <c r="GK158" s="691"/>
      <c r="GL158" s="691"/>
      <c r="GM158" s="691"/>
      <c r="GN158" s="691"/>
      <c r="GO158" s="691"/>
      <c r="GP158" s="691"/>
      <c r="GQ158" s="691"/>
      <c r="GR158" s="691"/>
      <c r="GS158" s="691"/>
      <c r="GT158" s="691"/>
      <c r="GU158" s="691"/>
      <c r="GV158" s="691"/>
      <c r="GW158" s="691"/>
      <c r="GX158" s="691"/>
      <c r="GY158" s="691"/>
      <c r="GZ158" s="691"/>
      <c r="HA158" s="691"/>
      <c r="HB158" s="691"/>
      <c r="HC158" s="691"/>
      <c r="HD158" s="691"/>
      <c r="HE158" s="691"/>
      <c r="HF158" s="691"/>
      <c r="HG158" s="691"/>
      <c r="HH158" s="691"/>
      <c r="HI158" s="691"/>
      <c r="HJ158" s="691"/>
      <c r="HK158" s="691"/>
      <c r="HL158" s="691"/>
      <c r="HM158" s="691"/>
      <c r="HN158" s="691"/>
      <c r="HO158" s="691"/>
      <c r="HP158" s="691"/>
      <c r="HQ158" s="691"/>
      <c r="HR158" s="691"/>
      <c r="HS158" s="691"/>
      <c r="HT158" s="691"/>
      <c r="HU158" s="691"/>
      <c r="HV158" s="691"/>
      <c r="HW158" s="691"/>
      <c r="HX158" s="691"/>
      <c r="HY158" s="691"/>
      <c r="HZ158" s="691"/>
      <c r="IA158" s="691"/>
      <c r="IB158" s="691"/>
      <c r="IC158" s="691"/>
      <c r="ID158" s="691"/>
      <c r="IE158" s="691"/>
      <c r="IF158" s="691"/>
      <c r="IG158" s="691"/>
      <c r="IH158" s="691"/>
      <c r="II158" s="691"/>
      <c r="IJ158" s="691"/>
      <c r="IK158" s="691"/>
      <c r="IL158" s="691"/>
      <c r="IM158" s="691"/>
      <c r="IN158" s="691"/>
    </row>
    <row r="159" spans="2:250" s="692" customFormat="1" ht="15.75">
      <c r="B159" s="706"/>
      <c r="C159" s="24" t="s">
        <v>2186</v>
      </c>
      <c r="D159" s="39">
        <v>100</v>
      </c>
      <c r="E159" s="41"/>
      <c r="F159" s="41"/>
      <c r="G159" s="41"/>
      <c r="H159" s="41"/>
      <c r="I159" s="41"/>
      <c r="J159" s="41"/>
      <c r="K159" s="41"/>
      <c r="L159" s="41"/>
      <c r="M159" s="41"/>
      <c r="N159" s="41"/>
      <c r="O159" s="41"/>
      <c r="P159" s="41"/>
      <c r="Q159" s="41"/>
      <c r="R159" s="41"/>
      <c r="S159" s="41"/>
      <c r="T159" s="691"/>
      <c r="U159" s="691"/>
      <c r="V159" s="691"/>
      <c r="W159" s="691"/>
      <c r="X159" s="691"/>
      <c r="Y159" s="691"/>
      <c r="Z159" s="691"/>
      <c r="AA159" s="691"/>
      <c r="AB159" s="691"/>
      <c r="AC159" s="691"/>
      <c r="AD159" s="691"/>
      <c r="AE159" s="691"/>
      <c r="AF159" s="691"/>
      <c r="AG159" s="691"/>
      <c r="AH159" s="691"/>
      <c r="AI159" s="691"/>
      <c r="AJ159" s="691"/>
      <c r="AK159" s="691"/>
      <c r="AL159" s="691"/>
      <c r="AM159" s="691"/>
      <c r="AN159" s="691"/>
      <c r="AO159" s="691"/>
      <c r="AP159" s="691"/>
      <c r="AQ159" s="691"/>
      <c r="AR159" s="691"/>
      <c r="AS159" s="691"/>
      <c r="AT159" s="691"/>
      <c r="AU159" s="691"/>
      <c r="AV159" s="691"/>
      <c r="AW159" s="691"/>
      <c r="AX159" s="691"/>
      <c r="AY159" s="691"/>
      <c r="AZ159" s="691"/>
      <c r="BA159" s="691"/>
      <c r="BB159" s="691"/>
      <c r="BC159" s="691"/>
      <c r="BD159" s="691"/>
      <c r="BE159" s="691"/>
      <c r="BF159" s="691"/>
      <c r="BG159" s="691"/>
      <c r="BH159" s="691"/>
      <c r="BI159" s="691"/>
      <c r="BJ159" s="691"/>
      <c r="BK159" s="691"/>
      <c r="BL159" s="691"/>
      <c r="BM159" s="691"/>
      <c r="BN159" s="691"/>
      <c r="BO159" s="691"/>
      <c r="BP159" s="691"/>
      <c r="BQ159" s="691"/>
      <c r="BR159" s="691"/>
      <c r="BS159" s="691"/>
      <c r="BT159" s="691"/>
      <c r="BU159" s="691"/>
      <c r="BV159" s="691"/>
      <c r="BW159" s="691"/>
      <c r="BX159" s="691"/>
      <c r="BY159" s="691"/>
      <c r="BZ159" s="691"/>
      <c r="CA159" s="691"/>
      <c r="CB159" s="691"/>
      <c r="CC159" s="691"/>
      <c r="CD159" s="691"/>
      <c r="CE159" s="691"/>
      <c r="CF159" s="691"/>
      <c r="CG159" s="691"/>
      <c r="CH159" s="691"/>
      <c r="CI159" s="691"/>
      <c r="CJ159" s="691"/>
      <c r="CK159" s="691"/>
      <c r="CL159" s="691"/>
      <c r="CM159" s="691"/>
      <c r="CN159" s="691"/>
      <c r="CO159" s="691"/>
      <c r="CP159" s="691"/>
      <c r="CQ159" s="691"/>
      <c r="CR159" s="691"/>
      <c r="CS159" s="691"/>
      <c r="CT159" s="691"/>
      <c r="CU159" s="691"/>
      <c r="CV159" s="691"/>
      <c r="CW159" s="691"/>
      <c r="CX159" s="691"/>
      <c r="CY159" s="691"/>
      <c r="CZ159" s="691"/>
      <c r="DA159" s="691"/>
      <c r="DB159" s="691"/>
      <c r="DC159" s="691"/>
      <c r="DD159" s="691"/>
      <c r="DE159" s="691"/>
      <c r="DF159" s="691"/>
      <c r="DG159" s="691"/>
      <c r="DH159" s="691"/>
      <c r="DI159" s="691"/>
      <c r="DJ159" s="691"/>
      <c r="DK159" s="691"/>
      <c r="DL159" s="691"/>
      <c r="DM159" s="691"/>
      <c r="DN159" s="691"/>
      <c r="DO159" s="691"/>
      <c r="DP159" s="691"/>
      <c r="DQ159" s="691"/>
      <c r="DR159" s="691"/>
      <c r="DS159" s="691"/>
      <c r="DT159" s="691"/>
      <c r="DU159" s="691"/>
      <c r="DV159" s="691"/>
      <c r="DW159" s="691"/>
      <c r="DX159" s="691"/>
      <c r="DY159" s="691"/>
      <c r="DZ159" s="691"/>
      <c r="EA159" s="691"/>
      <c r="EB159" s="691"/>
      <c r="EC159" s="691"/>
      <c r="ED159" s="691"/>
      <c r="EE159" s="691"/>
      <c r="EF159" s="691"/>
      <c r="EG159" s="691"/>
      <c r="EH159" s="691"/>
      <c r="EI159" s="691"/>
      <c r="EJ159" s="691"/>
      <c r="EK159" s="691"/>
      <c r="EL159" s="691"/>
      <c r="EM159" s="691"/>
      <c r="EN159" s="691"/>
      <c r="EO159" s="691"/>
      <c r="EP159" s="691"/>
      <c r="EQ159" s="691"/>
      <c r="ER159" s="691"/>
      <c r="ES159" s="691"/>
      <c r="ET159" s="691"/>
      <c r="EU159" s="691"/>
      <c r="EV159" s="691"/>
      <c r="EW159" s="691"/>
      <c r="EX159" s="691"/>
      <c r="EY159" s="691"/>
      <c r="EZ159" s="691"/>
      <c r="FA159" s="691"/>
      <c r="FB159" s="691"/>
      <c r="FC159" s="691"/>
      <c r="FD159" s="691"/>
      <c r="FE159" s="691"/>
      <c r="FF159" s="691"/>
      <c r="FG159" s="691"/>
      <c r="FH159" s="691"/>
      <c r="FI159" s="691"/>
      <c r="FJ159" s="691"/>
      <c r="FK159" s="691"/>
      <c r="FL159" s="691"/>
      <c r="FM159" s="691"/>
      <c r="FN159" s="691"/>
      <c r="FO159" s="691"/>
      <c r="FP159" s="691"/>
      <c r="FQ159" s="691"/>
      <c r="FR159" s="691"/>
      <c r="FS159" s="691"/>
      <c r="FT159" s="691"/>
      <c r="FU159" s="691"/>
      <c r="FV159" s="691"/>
      <c r="FW159" s="691"/>
      <c r="FX159" s="691"/>
      <c r="FY159" s="691"/>
      <c r="FZ159" s="691"/>
      <c r="GA159" s="691"/>
      <c r="GB159" s="691"/>
      <c r="GC159" s="691"/>
      <c r="GD159" s="691"/>
      <c r="GE159" s="691"/>
      <c r="GF159" s="691"/>
      <c r="GG159" s="691"/>
      <c r="GH159" s="691"/>
      <c r="GI159" s="691"/>
      <c r="GJ159" s="691"/>
      <c r="GK159" s="691"/>
      <c r="GL159" s="691"/>
      <c r="GM159" s="691"/>
      <c r="GN159" s="691"/>
      <c r="GO159" s="691"/>
      <c r="GP159" s="691"/>
      <c r="GQ159" s="691"/>
      <c r="GR159" s="691"/>
      <c r="GS159" s="691"/>
      <c r="GT159" s="691"/>
      <c r="GU159" s="691"/>
      <c r="GV159" s="691"/>
      <c r="GW159" s="691"/>
      <c r="GX159" s="691"/>
      <c r="GY159" s="691"/>
      <c r="GZ159" s="691"/>
      <c r="HA159" s="691"/>
      <c r="HB159" s="691"/>
      <c r="HC159" s="691"/>
      <c r="HD159" s="691"/>
      <c r="HE159" s="691"/>
      <c r="HF159" s="691"/>
      <c r="HG159" s="691"/>
      <c r="HH159" s="691"/>
      <c r="HI159" s="691"/>
      <c r="HJ159" s="691"/>
      <c r="HK159" s="691"/>
      <c r="HL159" s="691"/>
      <c r="HM159" s="691"/>
      <c r="HN159" s="691"/>
      <c r="HO159" s="691"/>
      <c r="HP159" s="691"/>
      <c r="HQ159" s="691"/>
      <c r="HR159" s="691"/>
      <c r="HS159" s="691"/>
      <c r="HT159" s="691"/>
      <c r="HU159" s="691"/>
      <c r="HV159" s="691"/>
      <c r="HW159" s="691"/>
      <c r="HX159" s="691"/>
      <c r="HY159" s="691"/>
      <c r="HZ159" s="691"/>
      <c r="IA159" s="691"/>
      <c r="IB159" s="691"/>
      <c r="IC159" s="691"/>
      <c r="ID159" s="691"/>
      <c r="IE159" s="691"/>
      <c r="IF159" s="691"/>
      <c r="IG159" s="691"/>
      <c r="IH159" s="691"/>
      <c r="II159" s="691"/>
      <c r="IJ159" s="691"/>
      <c r="IK159" s="691"/>
      <c r="IL159" s="691"/>
      <c r="IM159" s="691"/>
      <c r="IN159" s="691"/>
    </row>
    <row r="160" spans="2:250" s="692" customFormat="1" ht="15.75">
      <c r="B160" s="706"/>
      <c r="C160" s="24" t="s">
        <v>2187</v>
      </c>
      <c r="D160" s="39">
        <v>100</v>
      </c>
      <c r="E160" s="41"/>
      <c r="F160" s="41"/>
      <c r="G160" s="41"/>
      <c r="H160" s="41"/>
      <c r="I160" s="41"/>
      <c r="J160" s="41"/>
      <c r="K160" s="41"/>
      <c r="L160" s="41"/>
      <c r="M160" s="41"/>
      <c r="N160" s="41"/>
      <c r="O160" s="41"/>
      <c r="P160" s="41"/>
      <c r="Q160" s="41"/>
      <c r="R160" s="41"/>
      <c r="S160" s="41"/>
      <c r="T160" s="691"/>
      <c r="U160" s="691"/>
      <c r="V160" s="691"/>
      <c r="W160" s="691"/>
      <c r="X160" s="691"/>
      <c r="Y160" s="691"/>
      <c r="Z160" s="691"/>
      <c r="AA160" s="691"/>
      <c r="AB160" s="691"/>
      <c r="AC160" s="691"/>
      <c r="AD160" s="691"/>
      <c r="AE160" s="691"/>
      <c r="AF160" s="691"/>
      <c r="AG160" s="691"/>
      <c r="AH160" s="691"/>
      <c r="AI160" s="691"/>
      <c r="AJ160" s="691"/>
      <c r="AK160" s="691"/>
      <c r="AL160" s="691"/>
      <c r="AM160" s="691"/>
      <c r="AN160" s="691"/>
      <c r="AO160" s="691"/>
      <c r="AP160" s="691"/>
      <c r="AQ160" s="691"/>
      <c r="AR160" s="691"/>
      <c r="AS160" s="691"/>
      <c r="AT160" s="691"/>
      <c r="AU160" s="691"/>
      <c r="AV160" s="691"/>
      <c r="AW160" s="691"/>
      <c r="AX160" s="691"/>
      <c r="AY160" s="691"/>
      <c r="AZ160" s="691"/>
      <c r="BA160" s="691"/>
      <c r="BB160" s="691"/>
      <c r="BC160" s="691"/>
      <c r="BD160" s="691"/>
      <c r="BE160" s="691"/>
      <c r="BF160" s="691"/>
      <c r="BG160" s="691"/>
      <c r="BH160" s="691"/>
      <c r="BI160" s="691"/>
      <c r="BJ160" s="691"/>
      <c r="BK160" s="691"/>
      <c r="BL160" s="691"/>
      <c r="BM160" s="691"/>
      <c r="BN160" s="691"/>
      <c r="BO160" s="691"/>
      <c r="BP160" s="691"/>
      <c r="BQ160" s="691"/>
      <c r="BR160" s="691"/>
      <c r="BS160" s="691"/>
      <c r="BT160" s="691"/>
      <c r="BU160" s="691"/>
      <c r="BV160" s="691"/>
      <c r="BW160" s="691"/>
      <c r="BX160" s="691"/>
      <c r="BY160" s="691"/>
      <c r="BZ160" s="691"/>
      <c r="CA160" s="691"/>
      <c r="CB160" s="691"/>
      <c r="CC160" s="691"/>
      <c r="CD160" s="691"/>
      <c r="CE160" s="691"/>
      <c r="CF160" s="691"/>
      <c r="CG160" s="691"/>
      <c r="CH160" s="691"/>
      <c r="CI160" s="691"/>
      <c r="CJ160" s="691"/>
      <c r="CK160" s="691"/>
      <c r="CL160" s="691"/>
      <c r="CM160" s="691"/>
      <c r="CN160" s="691"/>
      <c r="CO160" s="691"/>
      <c r="CP160" s="691"/>
      <c r="CQ160" s="691"/>
      <c r="CR160" s="691"/>
      <c r="CS160" s="691"/>
      <c r="CT160" s="691"/>
      <c r="CU160" s="691"/>
      <c r="CV160" s="691"/>
      <c r="CW160" s="691"/>
      <c r="CX160" s="691"/>
      <c r="CY160" s="691"/>
      <c r="CZ160" s="691"/>
      <c r="DA160" s="691"/>
      <c r="DB160" s="691"/>
      <c r="DC160" s="691"/>
      <c r="DD160" s="691"/>
      <c r="DE160" s="691"/>
      <c r="DF160" s="691"/>
      <c r="DG160" s="691"/>
      <c r="DH160" s="691"/>
      <c r="DI160" s="691"/>
      <c r="DJ160" s="691"/>
      <c r="DK160" s="691"/>
      <c r="DL160" s="691"/>
      <c r="DM160" s="691"/>
      <c r="DN160" s="691"/>
      <c r="DO160" s="691"/>
      <c r="DP160" s="691"/>
      <c r="DQ160" s="691"/>
      <c r="DR160" s="691"/>
      <c r="DS160" s="691"/>
      <c r="DT160" s="691"/>
      <c r="DU160" s="691"/>
      <c r="DV160" s="691"/>
      <c r="DW160" s="691"/>
      <c r="DX160" s="691"/>
      <c r="DY160" s="691"/>
      <c r="DZ160" s="691"/>
      <c r="EA160" s="691"/>
      <c r="EB160" s="691"/>
      <c r="EC160" s="691"/>
      <c r="ED160" s="691"/>
      <c r="EE160" s="691"/>
      <c r="EF160" s="691"/>
      <c r="EG160" s="691"/>
      <c r="EH160" s="691"/>
      <c r="EI160" s="691"/>
      <c r="EJ160" s="691"/>
      <c r="EK160" s="691"/>
      <c r="EL160" s="691"/>
      <c r="EM160" s="691"/>
      <c r="EN160" s="691"/>
      <c r="EO160" s="691"/>
      <c r="EP160" s="691"/>
      <c r="EQ160" s="691"/>
      <c r="ER160" s="691"/>
      <c r="ES160" s="691"/>
      <c r="ET160" s="691"/>
      <c r="EU160" s="691"/>
      <c r="EV160" s="691"/>
      <c r="EW160" s="691"/>
      <c r="EX160" s="691"/>
      <c r="EY160" s="691"/>
      <c r="EZ160" s="691"/>
      <c r="FA160" s="691"/>
      <c r="FB160" s="691"/>
      <c r="FC160" s="691"/>
      <c r="FD160" s="691"/>
      <c r="FE160" s="691"/>
      <c r="FF160" s="691"/>
      <c r="FG160" s="691"/>
      <c r="FH160" s="691"/>
      <c r="FI160" s="691"/>
      <c r="FJ160" s="691"/>
      <c r="FK160" s="691"/>
      <c r="FL160" s="691"/>
      <c r="FM160" s="691"/>
      <c r="FN160" s="691"/>
      <c r="FO160" s="691"/>
      <c r="FP160" s="691"/>
      <c r="FQ160" s="691"/>
      <c r="FR160" s="691"/>
      <c r="FS160" s="691"/>
      <c r="FT160" s="691"/>
      <c r="FU160" s="691"/>
      <c r="FV160" s="691"/>
      <c r="FW160" s="691"/>
      <c r="FX160" s="691"/>
      <c r="FY160" s="691"/>
      <c r="FZ160" s="691"/>
      <c r="GA160" s="691"/>
      <c r="GB160" s="691"/>
      <c r="GC160" s="691"/>
      <c r="GD160" s="691"/>
      <c r="GE160" s="691"/>
      <c r="GF160" s="691"/>
      <c r="GG160" s="691"/>
      <c r="GH160" s="691"/>
      <c r="GI160" s="691"/>
      <c r="GJ160" s="691"/>
      <c r="GK160" s="691"/>
      <c r="GL160" s="691"/>
      <c r="GM160" s="691"/>
      <c r="GN160" s="691"/>
      <c r="GO160" s="691"/>
      <c r="GP160" s="691"/>
      <c r="GQ160" s="691"/>
      <c r="GR160" s="691"/>
      <c r="GS160" s="691"/>
      <c r="GT160" s="691"/>
      <c r="GU160" s="691"/>
      <c r="GV160" s="691"/>
      <c r="GW160" s="691"/>
      <c r="GX160" s="691"/>
      <c r="GY160" s="691"/>
      <c r="GZ160" s="691"/>
      <c r="HA160" s="691"/>
      <c r="HB160" s="691"/>
      <c r="HC160" s="691"/>
      <c r="HD160" s="691"/>
      <c r="HE160" s="691"/>
      <c r="HF160" s="691"/>
      <c r="HG160" s="691"/>
      <c r="HH160" s="691"/>
      <c r="HI160" s="691"/>
      <c r="HJ160" s="691"/>
      <c r="HK160" s="691"/>
      <c r="HL160" s="691"/>
      <c r="HM160" s="691"/>
      <c r="HN160" s="691"/>
      <c r="HO160" s="691"/>
      <c r="HP160" s="691"/>
      <c r="HQ160" s="691"/>
      <c r="HR160" s="691"/>
      <c r="HS160" s="691"/>
      <c r="HT160" s="691"/>
      <c r="HU160" s="691"/>
      <c r="HV160" s="691"/>
      <c r="HW160" s="691"/>
      <c r="HX160" s="691"/>
      <c r="HY160" s="691"/>
      <c r="HZ160" s="691"/>
      <c r="IA160" s="691"/>
      <c r="IB160" s="691"/>
      <c r="IC160" s="691"/>
      <c r="ID160" s="691"/>
      <c r="IE160" s="691"/>
      <c r="IF160" s="691"/>
      <c r="IG160" s="691"/>
      <c r="IH160" s="691"/>
      <c r="II160" s="691"/>
      <c r="IJ160" s="691"/>
      <c r="IK160" s="691"/>
      <c r="IL160" s="691"/>
      <c r="IM160" s="691"/>
      <c r="IN160" s="691"/>
    </row>
    <row r="161" spans="2:248" s="692" customFormat="1" ht="15.75">
      <c r="B161" s="706"/>
      <c r="C161" s="24" t="s">
        <v>2188</v>
      </c>
      <c r="D161" s="39">
        <v>50</v>
      </c>
      <c r="E161" s="41"/>
      <c r="F161" s="41"/>
      <c r="G161" s="41"/>
      <c r="H161" s="41"/>
      <c r="I161" s="41"/>
      <c r="J161" s="41"/>
      <c r="K161" s="41"/>
      <c r="L161" s="41"/>
      <c r="M161" s="41"/>
      <c r="N161" s="41"/>
      <c r="O161" s="41"/>
      <c r="P161" s="41"/>
      <c r="Q161" s="41"/>
      <c r="R161" s="41"/>
      <c r="S161" s="41"/>
      <c r="T161" s="691"/>
      <c r="U161" s="691"/>
      <c r="V161" s="691"/>
      <c r="W161" s="691"/>
      <c r="X161" s="691"/>
      <c r="Y161" s="691"/>
      <c r="Z161" s="691"/>
      <c r="AA161" s="691"/>
      <c r="AB161" s="691"/>
      <c r="AC161" s="691"/>
      <c r="AD161" s="691"/>
      <c r="AE161" s="691"/>
      <c r="AF161" s="691"/>
      <c r="AG161" s="691"/>
      <c r="AH161" s="691"/>
      <c r="AI161" s="691"/>
      <c r="AJ161" s="691"/>
      <c r="AK161" s="691"/>
      <c r="AL161" s="691"/>
      <c r="AM161" s="691"/>
      <c r="AN161" s="691"/>
      <c r="AO161" s="691"/>
      <c r="AP161" s="691"/>
      <c r="AQ161" s="691"/>
      <c r="AR161" s="691"/>
      <c r="AS161" s="691"/>
      <c r="AT161" s="691"/>
      <c r="AU161" s="691"/>
      <c r="AV161" s="691"/>
      <c r="AW161" s="691"/>
      <c r="AX161" s="691"/>
      <c r="AY161" s="691"/>
      <c r="AZ161" s="691"/>
      <c r="BA161" s="691"/>
      <c r="BB161" s="691"/>
      <c r="BC161" s="691"/>
      <c r="BD161" s="691"/>
      <c r="BE161" s="691"/>
      <c r="BF161" s="691"/>
      <c r="BG161" s="691"/>
      <c r="BH161" s="691"/>
      <c r="BI161" s="691"/>
      <c r="BJ161" s="691"/>
      <c r="BK161" s="691"/>
      <c r="BL161" s="691"/>
      <c r="BM161" s="691"/>
      <c r="BN161" s="691"/>
      <c r="BO161" s="691"/>
      <c r="BP161" s="691"/>
      <c r="BQ161" s="691"/>
      <c r="BR161" s="691"/>
      <c r="BS161" s="691"/>
      <c r="BT161" s="691"/>
      <c r="BU161" s="691"/>
      <c r="BV161" s="691"/>
      <c r="BW161" s="691"/>
      <c r="BX161" s="691"/>
      <c r="BY161" s="691"/>
      <c r="BZ161" s="691"/>
      <c r="CA161" s="691"/>
      <c r="CB161" s="691"/>
      <c r="CC161" s="691"/>
      <c r="CD161" s="691"/>
      <c r="CE161" s="691"/>
      <c r="CF161" s="691"/>
      <c r="CG161" s="691"/>
      <c r="CH161" s="691"/>
      <c r="CI161" s="691"/>
      <c r="CJ161" s="691"/>
      <c r="CK161" s="691"/>
      <c r="CL161" s="691"/>
      <c r="CM161" s="691"/>
      <c r="CN161" s="691"/>
      <c r="CO161" s="691"/>
      <c r="CP161" s="691"/>
      <c r="CQ161" s="691"/>
      <c r="CR161" s="691"/>
      <c r="CS161" s="691"/>
      <c r="CT161" s="691"/>
      <c r="CU161" s="691"/>
      <c r="CV161" s="691"/>
      <c r="CW161" s="691"/>
      <c r="CX161" s="691"/>
      <c r="CY161" s="691"/>
      <c r="CZ161" s="691"/>
      <c r="DA161" s="691"/>
      <c r="DB161" s="691"/>
      <c r="DC161" s="691"/>
      <c r="DD161" s="691"/>
      <c r="DE161" s="691"/>
      <c r="DF161" s="691"/>
      <c r="DG161" s="691"/>
      <c r="DH161" s="691"/>
      <c r="DI161" s="691"/>
      <c r="DJ161" s="691"/>
      <c r="DK161" s="691"/>
      <c r="DL161" s="691"/>
      <c r="DM161" s="691"/>
      <c r="DN161" s="691"/>
      <c r="DO161" s="691"/>
      <c r="DP161" s="691"/>
      <c r="DQ161" s="691"/>
      <c r="DR161" s="691"/>
      <c r="DS161" s="691"/>
      <c r="DT161" s="691"/>
      <c r="DU161" s="691"/>
      <c r="DV161" s="691"/>
      <c r="DW161" s="691"/>
      <c r="DX161" s="691"/>
      <c r="DY161" s="691"/>
      <c r="DZ161" s="691"/>
      <c r="EA161" s="691"/>
      <c r="EB161" s="691"/>
      <c r="EC161" s="691"/>
      <c r="ED161" s="691"/>
      <c r="EE161" s="691"/>
      <c r="EF161" s="691"/>
      <c r="EG161" s="691"/>
      <c r="EH161" s="691"/>
      <c r="EI161" s="691"/>
      <c r="EJ161" s="691"/>
      <c r="EK161" s="691"/>
      <c r="EL161" s="691"/>
      <c r="EM161" s="691"/>
      <c r="EN161" s="691"/>
      <c r="EO161" s="691"/>
      <c r="EP161" s="691"/>
      <c r="EQ161" s="691"/>
      <c r="ER161" s="691"/>
      <c r="ES161" s="691"/>
      <c r="ET161" s="691"/>
      <c r="EU161" s="691"/>
      <c r="EV161" s="691"/>
      <c r="EW161" s="691"/>
      <c r="EX161" s="691"/>
      <c r="EY161" s="691"/>
      <c r="EZ161" s="691"/>
      <c r="FA161" s="691"/>
      <c r="FB161" s="691"/>
      <c r="FC161" s="691"/>
      <c r="FD161" s="691"/>
      <c r="FE161" s="691"/>
      <c r="FF161" s="691"/>
      <c r="FG161" s="691"/>
      <c r="FH161" s="691"/>
      <c r="FI161" s="691"/>
      <c r="FJ161" s="691"/>
      <c r="FK161" s="691"/>
      <c r="FL161" s="691"/>
      <c r="FM161" s="691"/>
      <c r="FN161" s="691"/>
      <c r="FO161" s="691"/>
      <c r="FP161" s="691"/>
      <c r="FQ161" s="691"/>
      <c r="FR161" s="691"/>
      <c r="FS161" s="691"/>
      <c r="FT161" s="691"/>
      <c r="FU161" s="691"/>
      <c r="FV161" s="691"/>
      <c r="FW161" s="691"/>
      <c r="FX161" s="691"/>
      <c r="FY161" s="691"/>
      <c r="FZ161" s="691"/>
      <c r="GA161" s="691"/>
      <c r="GB161" s="691"/>
      <c r="GC161" s="691"/>
      <c r="GD161" s="691"/>
      <c r="GE161" s="691"/>
      <c r="GF161" s="691"/>
      <c r="GG161" s="691"/>
      <c r="GH161" s="691"/>
      <c r="GI161" s="691"/>
      <c r="GJ161" s="691"/>
      <c r="GK161" s="691"/>
      <c r="GL161" s="691"/>
      <c r="GM161" s="691"/>
      <c r="GN161" s="691"/>
      <c r="GO161" s="691"/>
      <c r="GP161" s="691"/>
      <c r="GQ161" s="691"/>
      <c r="GR161" s="691"/>
      <c r="GS161" s="691"/>
      <c r="GT161" s="691"/>
      <c r="GU161" s="691"/>
      <c r="GV161" s="691"/>
      <c r="GW161" s="691"/>
      <c r="GX161" s="691"/>
      <c r="GY161" s="691"/>
      <c r="GZ161" s="691"/>
      <c r="HA161" s="691"/>
      <c r="HB161" s="691"/>
      <c r="HC161" s="691"/>
      <c r="HD161" s="691"/>
      <c r="HE161" s="691"/>
      <c r="HF161" s="691"/>
      <c r="HG161" s="691"/>
      <c r="HH161" s="691"/>
      <c r="HI161" s="691"/>
      <c r="HJ161" s="691"/>
      <c r="HK161" s="691"/>
      <c r="HL161" s="691"/>
      <c r="HM161" s="691"/>
      <c r="HN161" s="691"/>
      <c r="HO161" s="691"/>
      <c r="HP161" s="691"/>
      <c r="HQ161" s="691"/>
      <c r="HR161" s="691"/>
      <c r="HS161" s="691"/>
      <c r="HT161" s="691"/>
      <c r="HU161" s="691"/>
      <c r="HV161" s="691"/>
      <c r="HW161" s="691"/>
      <c r="HX161" s="691"/>
      <c r="HY161" s="691"/>
      <c r="HZ161" s="691"/>
      <c r="IA161" s="691"/>
      <c r="IB161" s="691"/>
      <c r="IC161" s="691"/>
      <c r="ID161" s="691"/>
      <c r="IE161" s="691"/>
      <c r="IF161" s="691"/>
      <c r="IG161" s="691"/>
      <c r="IH161" s="691"/>
      <c r="II161" s="691"/>
      <c r="IJ161" s="691"/>
      <c r="IK161" s="691"/>
      <c r="IL161" s="691"/>
      <c r="IM161" s="691"/>
      <c r="IN161" s="691"/>
    </row>
    <row r="162" spans="2:248" s="692" customFormat="1" ht="15.75">
      <c r="B162" s="706"/>
      <c r="C162" s="24" t="s">
        <v>2189</v>
      </c>
      <c r="D162" s="39">
        <v>20</v>
      </c>
      <c r="E162" s="41"/>
      <c r="F162" s="41"/>
      <c r="G162" s="41"/>
      <c r="H162" s="41"/>
      <c r="I162" s="41"/>
      <c r="J162" s="41"/>
      <c r="K162" s="41"/>
      <c r="L162" s="41"/>
      <c r="M162" s="41"/>
      <c r="N162" s="41"/>
      <c r="O162" s="41"/>
      <c r="P162" s="41"/>
      <c r="Q162" s="41"/>
      <c r="R162" s="41"/>
      <c r="S162" s="41"/>
      <c r="T162" s="691"/>
      <c r="U162" s="691"/>
      <c r="V162" s="691"/>
      <c r="W162" s="691"/>
      <c r="X162" s="691"/>
      <c r="Y162" s="691"/>
      <c r="Z162" s="691"/>
      <c r="AA162" s="691"/>
      <c r="AB162" s="691"/>
      <c r="AC162" s="691"/>
      <c r="AD162" s="691"/>
      <c r="AE162" s="691"/>
      <c r="AF162" s="691"/>
      <c r="AG162" s="691"/>
      <c r="AH162" s="691"/>
      <c r="AI162" s="691"/>
      <c r="AJ162" s="691"/>
      <c r="AK162" s="691"/>
      <c r="AL162" s="691"/>
      <c r="AM162" s="691"/>
      <c r="AN162" s="691"/>
      <c r="AO162" s="691"/>
      <c r="AP162" s="691"/>
      <c r="AQ162" s="691"/>
      <c r="AR162" s="691"/>
      <c r="AS162" s="691"/>
      <c r="AT162" s="691"/>
      <c r="AU162" s="691"/>
      <c r="AV162" s="691"/>
      <c r="AW162" s="691"/>
      <c r="AX162" s="691"/>
      <c r="AY162" s="691"/>
      <c r="AZ162" s="691"/>
      <c r="BA162" s="691"/>
      <c r="BB162" s="691"/>
      <c r="BC162" s="691"/>
      <c r="BD162" s="691"/>
      <c r="BE162" s="691"/>
      <c r="BF162" s="691"/>
      <c r="BG162" s="691"/>
      <c r="BH162" s="691"/>
      <c r="BI162" s="691"/>
      <c r="BJ162" s="691"/>
      <c r="BK162" s="691"/>
      <c r="BL162" s="691"/>
      <c r="BM162" s="691"/>
      <c r="BN162" s="691"/>
      <c r="BO162" s="691"/>
      <c r="BP162" s="691"/>
      <c r="BQ162" s="691"/>
      <c r="BR162" s="691"/>
      <c r="BS162" s="691"/>
      <c r="BT162" s="691"/>
      <c r="BU162" s="691"/>
      <c r="BV162" s="691"/>
      <c r="BW162" s="691"/>
      <c r="BX162" s="691"/>
      <c r="BY162" s="691"/>
      <c r="BZ162" s="691"/>
      <c r="CA162" s="691"/>
      <c r="CB162" s="691"/>
      <c r="CC162" s="691"/>
      <c r="CD162" s="691"/>
      <c r="CE162" s="691"/>
      <c r="CF162" s="691"/>
      <c r="CG162" s="691"/>
      <c r="CH162" s="691"/>
      <c r="CI162" s="691"/>
      <c r="CJ162" s="691"/>
      <c r="CK162" s="691"/>
      <c r="CL162" s="691"/>
      <c r="CM162" s="691"/>
      <c r="CN162" s="691"/>
      <c r="CO162" s="691"/>
      <c r="CP162" s="691"/>
      <c r="CQ162" s="691"/>
      <c r="CR162" s="691"/>
      <c r="CS162" s="691"/>
      <c r="CT162" s="691"/>
      <c r="CU162" s="691"/>
      <c r="CV162" s="691"/>
      <c r="CW162" s="691"/>
      <c r="CX162" s="691"/>
      <c r="CY162" s="691"/>
      <c r="CZ162" s="691"/>
      <c r="DA162" s="691"/>
      <c r="DB162" s="691"/>
      <c r="DC162" s="691"/>
      <c r="DD162" s="691"/>
      <c r="DE162" s="691"/>
      <c r="DF162" s="691"/>
      <c r="DG162" s="691"/>
      <c r="DH162" s="691"/>
      <c r="DI162" s="691"/>
      <c r="DJ162" s="691"/>
      <c r="DK162" s="691"/>
      <c r="DL162" s="691"/>
      <c r="DM162" s="691"/>
      <c r="DN162" s="691"/>
      <c r="DO162" s="691"/>
      <c r="DP162" s="691"/>
      <c r="DQ162" s="691"/>
      <c r="DR162" s="691"/>
      <c r="DS162" s="691"/>
      <c r="DT162" s="691"/>
      <c r="DU162" s="691"/>
      <c r="DV162" s="691"/>
      <c r="DW162" s="691"/>
      <c r="DX162" s="691"/>
      <c r="DY162" s="691"/>
      <c r="DZ162" s="691"/>
      <c r="EA162" s="691"/>
      <c r="EB162" s="691"/>
      <c r="EC162" s="691"/>
      <c r="ED162" s="691"/>
      <c r="EE162" s="691"/>
      <c r="EF162" s="691"/>
      <c r="EG162" s="691"/>
      <c r="EH162" s="691"/>
      <c r="EI162" s="691"/>
      <c r="EJ162" s="691"/>
      <c r="EK162" s="691"/>
      <c r="EL162" s="691"/>
      <c r="EM162" s="691"/>
      <c r="EN162" s="691"/>
      <c r="EO162" s="691"/>
      <c r="EP162" s="691"/>
      <c r="EQ162" s="691"/>
      <c r="ER162" s="691"/>
      <c r="ES162" s="691"/>
      <c r="ET162" s="691"/>
      <c r="EU162" s="691"/>
      <c r="EV162" s="691"/>
      <c r="EW162" s="691"/>
      <c r="EX162" s="691"/>
      <c r="EY162" s="691"/>
      <c r="EZ162" s="691"/>
      <c r="FA162" s="691"/>
      <c r="FB162" s="691"/>
      <c r="FC162" s="691"/>
      <c r="FD162" s="691"/>
      <c r="FE162" s="691"/>
      <c r="FF162" s="691"/>
      <c r="FG162" s="691"/>
      <c r="FH162" s="691"/>
      <c r="FI162" s="691"/>
      <c r="FJ162" s="691"/>
      <c r="FK162" s="691"/>
      <c r="FL162" s="691"/>
      <c r="FM162" s="691"/>
      <c r="FN162" s="691"/>
      <c r="FO162" s="691"/>
      <c r="FP162" s="691"/>
      <c r="FQ162" s="691"/>
      <c r="FR162" s="691"/>
      <c r="FS162" s="691"/>
      <c r="FT162" s="691"/>
      <c r="FU162" s="691"/>
      <c r="FV162" s="691"/>
      <c r="FW162" s="691"/>
      <c r="FX162" s="691"/>
      <c r="FY162" s="691"/>
      <c r="FZ162" s="691"/>
      <c r="GA162" s="691"/>
      <c r="GB162" s="691"/>
      <c r="GC162" s="691"/>
      <c r="GD162" s="691"/>
      <c r="GE162" s="691"/>
      <c r="GF162" s="691"/>
      <c r="GG162" s="691"/>
      <c r="GH162" s="691"/>
      <c r="GI162" s="691"/>
      <c r="GJ162" s="691"/>
      <c r="GK162" s="691"/>
      <c r="GL162" s="691"/>
      <c r="GM162" s="691"/>
      <c r="GN162" s="691"/>
      <c r="GO162" s="691"/>
      <c r="GP162" s="691"/>
      <c r="GQ162" s="691"/>
      <c r="GR162" s="691"/>
      <c r="GS162" s="691"/>
      <c r="GT162" s="691"/>
      <c r="GU162" s="691"/>
      <c r="GV162" s="691"/>
      <c r="GW162" s="691"/>
      <c r="GX162" s="691"/>
      <c r="GY162" s="691"/>
      <c r="GZ162" s="691"/>
      <c r="HA162" s="691"/>
      <c r="HB162" s="691"/>
      <c r="HC162" s="691"/>
      <c r="HD162" s="691"/>
      <c r="HE162" s="691"/>
      <c r="HF162" s="691"/>
      <c r="HG162" s="691"/>
      <c r="HH162" s="691"/>
      <c r="HI162" s="691"/>
      <c r="HJ162" s="691"/>
      <c r="HK162" s="691"/>
      <c r="HL162" s="691"/>
      <c r="HM162" s="691"/>
      <c r="HN162" s="691"/>
      <c r="HO162" s="691"/>
      <c r="HP162" s="691"/>
      <c r="HQ162" s="691"/>
      <c r="HR162" s="691"/>
      <c r="HS162" s="691"/>
      <c r="HT162" s="691"/>
      <c r="HU162" s="691"/>
      <c r="HV162" s="691"/>
      <c r="HW162" s="691"/>
      <c r="HX162" s="691"/>
      <c r="HY162" s="691"/>
      <c r="HZ162" s="691"/>
      <c r="IA162" s="691"/>
      <c r="IB162" s="691"/>
      <c r="IC162" s="691"/>
      <c r="ID162" s="691"/>
      <c r="IE162" s="691"/>
      <c r="IF162" s="691"/>
      <c r="IG162" s="691"/>
      <c r="IH162" s="691"/>
      <c r="II162" s="691"/>
      <c r="IJ162" s="691"/>
      <c r="IK162" s="691"/>
      <c r="IL162" s="691"/>
      <c r="IM162" s="691"/>
      <c r="IN162" s="691"/>
    </row>
    <row r="163" spans="2:248" s="692" customFormat="1" ht="15.75">
      <c r="B163" s="706"/>
      <c r="C163" s="24" t="s">
        <v>2190</v>
      </c>
      <c r="D163" s="39">
        <v>20</v>
      </c>
      <c r="E163" s="41"/>
      <c r="F163" s="41"/>
      <c r="G163" s="41"/>
      <c r="H163" s="41"/>
      <c r="I163" s="41"/>
      <c r="J163" s="41"/>
      <c r="K163" s="41"/>
      <c r="L163" s="41"/>
      <c r="M163" s="41"/>
      <c r="N163" s="41"/>
      <c r="O163" s="41"/>
      <c r="P163" s="41"/>
      <c r="Q163" s="41"/>
      <c r="R163" s="41"/>
      <c r="S163" s="41"/>
      <c r="T163" s="691"/>
      <c r="U163" s="691"/>
      <c r="V163" s="691"/>
      <c r="W163" s="691"/>
      <c r="X163" s="691"/>
      <c r="Y163" s="691"/>
      <c r="Z163" s="691"/>
      <c r="AA163" s="691"/>
      <c r="AB163" s="691"/>
      <c r="AC163" s="691"/>
      <c r="AD163" s="691"/>
      <c r="AE163" s="691"/>
      <c r="AF163" s="691"/>
      <c r="AG163" s="691"/>
      <c r="AH163" s="691"/>
      <c r="AI163" s="691"/>
      <c r="AJ163" s="691"/>
      <c r="AK163" s="691"/>
      <c r="AL163" s="691"/>
      <c r="AM163" s="691"/>
      <c r="AN163" s="691"/>
      <c r="AO163" s="691"/>
      <c r="AP163" s="691"/>
      <c r="AQ163" s="691"/>
      <c r="AR163" s="691"/>
      <c r="AS163" s="691"/>
      <c r="AT163" s="691"/>
      <c r="AU163" s="691"/>
      <c r="AV163" s="691"/>
      <c r="AW163" s="691"/>
      <c r="AX163" s="691"/>
      <c r="AY163" s="691"/>
      <c r="AZ163" s="691"/>
      <c r="BA163" s="691"/>
      <c r="BB163" s="691"/>
      <c r="BC163" s="691"/>
      <c r="BD163" s="691"/>
      <c r="BE163" s="691"/>
      <c r="BF163" s="691"/>
      <c r="BG163" s="691"/>
      <c r="BH163" s="691"/>
      <c r="BI163" s="691"/>
      <c r="BJ163" s="691"/>
      <c r="BK163" s="691"/>
      <c r="BL163" s="691"/>
      <c r="BM163" s="691"/>
      <c r="BN163" s="691"/>
      <c r="BO163" s="691"/>
      <c r="BP163" s="691"/>
      <c r="BQ163" s="691"/>
      <c r="BR163" s="691"/>
      <c r="BS163" s="691"/>
      <c r="BT163" s="691"/>
      <c r="BU163" s="691"/>
      <c r="BV163" s="691"/>
      <c r="BW163" s="691"/>
      <c r="BX163" s="691"/>
      <c r="BY163" s="691"/>
      <c r="BZ163" s="691"/>
      <c r="CA163" s="691"/>
      <c r="CB163" s="691"/>
      <c r="CC163" s="691"/>
      <c r="CD163" s="691"/>
      <c r="CE163" s="691"/>
      <c r="CF163" s="691"/>
      <c r="CG163" s="691"/>
      <c r="CH163" s="691"/>
      <c r="CI163" s="691"/>
      <c r="CJ163" s="691"/>
      <c r="CK163" s="691"/>
      <c r="CL163" s="691"/>
      <c r="CM163" s="691"/>
      <c r="CN163" s="691"/>
      <c r="CO163" s="691"/>
      <c r="CP163" s="691"/>
      <c r="CQ163" s="691"/>
      <c r="CR163" s="691"/>
      <c r="CS163" s="691"/>
      <c r="CT163" s="691"/>
      <c r="CU163" s="691"/>
      <c r="CV163" s="691"/>
      <c r="CW163" s="691"/>
      <c r="CX163" s="691"/>
      <c r="CY163" s="691"/>
      <c r="CZ163" s="691"/>
      <c r="DA163" s="691"/>
      <c r="DB163" s="691"/>
      <c r="DC163" s="691"/>
      <c r="DD163" s="691"/>
      <c r="DE163" s="691"/>
      <c r="DF163" s="691"/>
      <c r="DG163" s="691"/>
      <c r="DH163" s="691"/>
      <c r="DI163" s="691"/>
      <c r="DJ163" s="691"/>
      <c r="DK163" s="691"/>
      <c r="DL163" s="691"/>
      <c r="DM163" s="691"/>
      <c r="DN163" s="691"/>
      <c r="DO163" s="691"/>
      <c r="DP163" s="691"/>
      <c r="DQ163" s="691"/>
      <c r="DR163" s="691"/>
      <c r="DS163" s="691"/>
      <c r="DT163" s="691"/>
      <c r="DU163" s="691"/>
      <c r="DV163" s="691"/>
      <c r="DW163" s="691"/>
      <c r="DX163" s="691"/>
      <c r="DY163" s="691"/>
      <c r="DZ163" s="691"/>
      <c r="EA163" s="691"/>
      <c r="EB163" s="691"/>
      <c r="EC163" s="691"/>
      <c r="ED163" s="691"/>
      <c r="EE163" s="691"/>
      <c r="EF163" s="691"/>
      <c r="EG163" s="691"/>
      <c r="EH163" s="691"/>
      <c r="EI163" s="691"/>
      <c r="EJ163" s="691"/>
      <c r="EK163" s="691"/>
      <c r="EL163" s="691"/>
      <c r="EM163" s="691"/>
      <c r="EN163" s="691"/>
      <c r="EO163" s="691"/>
      <c r="EP163" s="691"/>
      <c r="EQ163" s="691"/>
      <c r="ER163" s="691"/>
      <c r="ES163" s="691"/>
      <c r="ET163" s="691"/>
      <c r="EU163" s="691"/>
      <c r="EV163" s="691"/>
      <c r="EW163" s="691"/>
      <c r="EX163" s="691"/>
      <c r="EY163" s="691"/>
      <c r="EZ163" s="691"/>
      <c r="FA163" s="691"/>
      <c r="FB163" s="691"/>
      <c r="FC163" s="691"/>
      <c r="FD163" s="691"/>
      <c r="FE163" s="691"/>
      <c r="FF163" s="691"/>
      <c r="FG163" s="691"/>
      <c r="FH163" s="691"/>
      <c r="FI163" s="691"/>
      <c r="FJ163" s="691"/>
      <c r="FK163" s="691"/>
      <c r="FL163" s="691"/>
      <c r="FM163" s="691"/>
      <c r="FN163" s="691"/>
      <c r="FO163" s="691"/>
      <c r="FP163" s="691"/>
      <c r="FQ163" s="691"/>
      <c r="FR163" s="691"/>
      <c r="FS163" s="691"/>
      <c r="FT163" s="691"/>
      <c r="FU163" s="691"/>
      <c r="FV163" s="691"/>
      <c r="FW163" s="691"/>
      <c r="FX163" s="691"/>
      <c r="FY163" s="691"/>
      <c r="FZ163" s="691"/>
      <c r="GA163" s="691"/>
      <c r="GB163" s="691"/>
      <c r="GC163" s="691"/>
      <c r="GD163" s="691"/>
      <c r="GE163" s="691"/>
      <c r="GF163" s="691"/>
      <c r="GG163" s="691"/>
      <c r="GH163" s="691"/>
      <c r="GI163" s="691"/>
      <c r="GJ163" s="691"/>
      <c r="GK163" s="691"/>
      <c r="GL163" s="691"/>
      <c r="GM163" s="691"/>
      <c r="GN163" s="691"/>
      <c r="GO163" s="691"/>
      <c r="GP163" s="691"/>
      <c r="GQ163" s="691"/>
      <c r="GR163" s="691"/>
      <c r="GS163" s="691"/>
      <c r="GT163" s="691"/>
      <c r="GU163" s="691"/>
      <c r="GV163" s="691"/>
      <c r="GW163" s="691"/>
      <c r="GX163" s="691"/>
      <c r="GY163" s="691"/>
      <c r="GZ163" s="691"/>
      <c r="HA163" s="691"/>
      <c r="HB163" s="691"/>
      <c r="HC163" s="691"/>
      <c r="HD163" s="691"/>
      <c r="HE163" s="691"/>
      <c r="HF163" s="691"/>
      <c r="HG163" s="691"/>
      <c r="HH163" s="691"/>
      <c r="HI163" s="691"/>
      <c r="HJ163" s="691"/>
      <c r="HK163" s="691"/>
      <c r="HL163" s="691"/>
      <c r="HM163" s="691"/>
      <c r="HN163" s="691"/>
      <c r="HO163" s="691"/>
      <c r="HP163" s="691"/>
      <c r="HQ163" s="691"/>
      <c r="HR163" s="691"/>
      <c r="HS163" s="691"/>
      <c r="HT163" s="691"/>
      <c r="HU163" s="691"/>
      <c r="HV163" s="691"/>
      <c r="HW163" s="691"/>
      <c r="HX163" s="691"/>
      <c r="HY163" s="691"/>
      <c r="HZ163" s="691"/>
      <c r="IA163" s="691"/>
      <c r="IB163" s="691"/>
      <c r="IC163" s="691"/>
      <c r="ID163" s="691"/>
      <c r="IE163" s="691"/>
      <c r="IF163" s="691"/>
      <c r="IG163" s="691"/>
      <c r="IH163" s="691"/>
      <c r="II163" s="691"/>
      <c r="IJ163" s="691"/>
      <c r="IK163" s="691"/>
      <c r="IL163" s="691"/>
      <c r="IM163" s="691"/>
      <c r="IN163" s="691"/>
    </row>
    <row r="164" spans="2:248" s="692" customFormat="1" ht="15.75">
      <c r="B164" s="706"/>
      <c r="C164" s="24" t="s">
        <v>2191</v>
      </c>
      <c r="D164" s="39">
        <v>2</v>
      </c>
      <c r="E164" s="41"/>
      <c r="F164" s="41"/>
      <c r="G164" s="41"/>
      <c r="H164" s="41"/>
      <c r="I164" s="41"/>
      <c r="J164" s="41"/>
      <c r="K164" s="41"/>
      <c r="L164" s="41"/>
      <c r="M164" s="41"/>
      <c r="N164" s="41"/>
      <c r="O164" s="41"/>
      <c r="P164" s="41"/>
      <c r="Q164" s="41"/>
      <c r="R164" s="41"/>
      <c r="S164" s="41"/>
      <c r="T164" s="691"/>
      <c r="U164" s="691"/>
      <c r="V164" s="691"/>
      <c r="W164" s="691"/>
      <c r="X164" s="691"/>
      <c r="Y164" s="691"/>
      <c r="Z164" s="691"/>
      <c r="AA164" s="691"/>
      <c r="AB164" s="691"/>
      <c r="AC164" s="691"/>
      <c r="AD164" s="691"/>
      <c r="AE164" s="691"/>
      <c r="AF164" s="691"/>
      <c r="AG164" s="691"/>
      <c r="AH164" s="691"/>
      <c r="AI164" s="691"/>
      <c r="AJ164" s="691"/>
      <c r="AK164" s="691"/>
      <c r="AL164" s="691"/>
      <c r="AM164" s="691"/>
      <c r="AN164" s="691"/>
      <c r="AO164" s="691"/>
      <c r="AP164" s="691"/>
      <c r="AQ164" s="691"/>
      <c r="AR164" s="691"/>
      <c r="AS164" s="691"/>
      <c r="AT164" s="691"/>
      <c r="AU164" s="691"/>
      <c r="AV164" s="691"/>
      <c r="AW164" s="691"/>
      <c r="AX164" s="691"/>
      <c r="AY164" s="691"/>
      <c r="AZ164" s="691"/>
      <c r="BA164" s="691"/>
      <c r="BB164" s="691"/>
      <c r="BC164" s="691"/>
      <c r="BD164" s="691"/>
      <c r="BE164" s="691"/>
      <c r="BF164" s="691"/>
      <c r="BG164" s="691"/>
      <c r="BH164" s="691"/>
      <c r="BI164" s="691"/>
      <c r="BJ164" s="691"/>
      <c r="BK164" s="691"/>
      <c r="BL164" s="691"/>
      <c r="BM164" s="691"/>
      <c r="BN164" s="691"/>
      <c r="BO164" s="691"/>
      <c r="BP164" s="691"/>
      <c r="BQ164" s="691"/>
      <c r="BR164" s="691"/>
      <c r="BS164" s="691"/>
      <c r="BT164" s="691"/>
      <c r="BU164" s="691"/>
      <c r="BV164" s="691"/>
      <c r="BW164" s="691"/>
      <c r="BX164" s="691"/>
      <c r="BY164" s="691"/>
      <c r="BZ164" s="691"/>
      <c r="CA164" s="691"/>
      <c r="CB164" s="691"/>
      <c r="CC164" s="691"/>
      <c r="CD164" s="691"/>
      <c r="CE164" s="691"/>
      <c r="CF164" s="691"/>
      <c r="CG164" s="691"/>
      <c r="CH164" s="691"/>
      <c r="CI164" s="691"/>
      <c r="CJ164" s="691"/>
      <c r="CK164" s="691"/>
      <c r="CL164" s="691"/>
      <c r="CM164" s="691"/>
      <c r="CN164" s="691"/>
      <c r="CO164" s="691"/>
      <c r="CP164" s="691"/>
      <c r="CQ164" s="691"/>
      <c r="CR164" s="691"/>
      <c r="CS164" s="691"/>
      <c r="CT164" s="691"/>
      <c r="CU164" s="691"/>
      <c r="CV164" s="691"/>
      <c r="CW164" s="691"/>
      <c r="CX164" s="691"/>
      <c r="CY164" s="691"/>
      <c r="CZ164" s="691"/>
      <c r="DA164" s="691"/>
      <c r="DB164" s="691"/>
      <c r="DC164" s="691"/>
      <c r="DD164" s="691"/>
      <c r="DE164" s="691"/>
      <c r="DF164" s="691"/>
      <c r="DG164" s="691"/>
      <c r="DH164" s="691"/>
      <c r="DI164" s="691"/>
      <c r="DJ164" s="691"/>
      <c r="DK164" s="691"/>
      <c r="DL164" s="691"/>
      <c r="DM164" s="691"/>
      <c r="DN164" s="691"/>
      <c r="DO164" s="691"/>
      <c r="DP164" s="691"/>
      <c r="DQ164" s="691"/>
      <c r="DR164" s="691"/>
      <c r="DS164" s="691"/>
      <c r="DT164" s="691"/>
      <c r="DU164" s="691"/>
      <c r="DV164" s="691"/>
      <c r="DW164" s="691"/>
      <c r="DX164" s="691"/>
      <c r="DY164" s="691"/>
      <c r="DZ164" s="691"/>
      <c r="EA164" s="691"/>
      <c r="EB164" s="691"/>
      <c r="EC164" s="691"/>
      <c r="ED164" s="691"/>
      <c r="EE164" s="691"/>
      <c r="EF164" s="691"/>
      <c r="EG164" s="691"/>
      <c r="EH164" s="691"/>
      <c r="EI164" s="691"/>
      <c r="EJ164" s="691"/>
      <c r="EK164" s="691"/>
      <c r="EL164" s="691"/>
      <c r="EM164" s="691"/>
      <c r="EN164" s="691"/>
      <c r="EO164" s="691"/>
      <c r="EP164" s="691"/>
      <c r="EQ164" s="691"/>
      <c r="ER164" s="691"/>
      <c r="ES164" s="691"/>
      <c r="ET164" s="691"/>
      <c r="EU164" s="691"/>
      <c r="EV164" s="691"/>
      <c r="EW164" s="691"/>
      <c r="EX164" s="691"/>
      <c r="EY164" s="691"/>
      <c r="EZ164" s="691"/>
      <c r="FA164" s="691"/>
      <c r="FB164" s="691"/>
      <c r="FC164" s="691"/>
      <c r="FD164" s="691"/>
      <c r="FE164" s="691"/>
      <c r="FF164" s="691"/>
      <c r="FG164" s="691"/>
      <c r="FH164" s="691"/>
      <c r="FI164" s="691"/>
      <c r="FJ164" s="691"/>
      <c r="FK164" s="691"/>
      <c r="FL164" s="691"/>
      <c r="FM164" s="691"/>
      <c r="FN164" s="691"/>
      <c r="FO164" s="691"/>
      <c r="FP164" s="691"/>
      <c r="FQ164" s="691"/>
      <c r="FR164" s="691"/>
      <c r="FS164" s="691"/>
      <c r="FT164" s="691"/>
      <c r="FU164" s="691"/>
      <c r="FV164" s="691"/>
      <c r="FW164" s="691"/>
      <c r="FX164" s="691"/>
      <c r="FY164" s="691"/>
      <c r="FZ164" s="691"/>
      <c r="GA164" s="691"/>
      <c r="GB164" s="691"/>
      <c r="GC164" s="691"/>
      <c r="GD164" s="691"/>
      <c r="GE164" s="691"/>
      <c r="GF164" s="691"/>
      <c r="GG164" s="691"/>
      <c r="GH164" s="691"/>
      <c r="GI164" s="691"/>
      <c r="GJ164" s="691"/>
      <c r="GK164" s="691"/>
      <c r="GL164" s="691"/>
      <c r="GM164" s="691"/>
      <c r="GN164" s="691"/>
      <c r="GO164" s="691"/>
      <c r="GP164" s="691"/>
      <c r="GQ164" s="691"/>
      <c r="GR164" s="691"/>
      <c r="GS164" s="691"/>
      <c r="GT164" s="691"/>
      <c r="GU164" s="691"/>
      <c r="GV164" s="691"/>
      <c r="GW164" s="691"/>
      <c r="GX164" s="691"/>
      <c r="GY164" s="691"/>
      <c r="GZ164" s="691"/>
      <c r="HA164" s="691"/>
      <c r="HB164" s="691"/>
      <c r="HC164" s="691"/>
      <c r="HD164" s="691"/>
      <c r="HE164" s="691"/>
      <c r="HF164" s="691"/>
      <c r="HG164" s="691"/>
      <c r="HH164" s="691"/>
      <c r="HI164" s="691"/>
      <c r="HJ164" s="691"/>
      <c r="HK164" s="691"/>
      <c r="HL164" s="691"/>
      <c r="HM164" s="691"/>
      <c r="HN164" s="691"/>
      <c r="HO164" s="691"/>
      <c r="HP164" s="691"/>
      <c r="HQ164" s="691"/>
      <c r="HR164" s="691"/>
      <c r="HS164" s="691"/>
      <c r="HT164" s="691"/>
      <c r="HU164" s="691"/>
      <c r="HV164" s="691"/>
      <c r="HW164" s="691"/>
      <c r="HX164" s="691"/>
      <c r="HY164" s="691"/>
      <c r="HZ164" s="691"/>
      <c r="IA164" s="691"/>
      <c r="IB164" s="691"/>
      <c r="IC164" s="691"/>
      <c r="ID164" s="691"/>
      <c r="IE164" s="691"/>
      <c r="IF164" s="691"/>
      <c r="IG164" s="691"/>
      <c r="IH164" s="691"/>
      <c r="II164" s="691"/>
      <c r="IJ164" s="691"/>
      <c r="IK164" s="691"/>
      <c r="IL164" s="691"/>
      <c r="IM164" s="691"/>
      <c r="IN164" s="691"/>
    </row>
    <row r="165" spans="2:248" s="692" customFormat="1" ht="15.75">
      <c r="B165" s="706"/>
      <c r="C165" s="24" t="s">
        <v>2192</v>
      </c>
      <c r="D165" s="39">
        <v>1</v>
      </c>
      <c r="E165" s="41"/>
      <c r="F165" s="41"/>
      <c r="G165" s="41"/>
      <c r="H165" s="41"/>
      <c r="I165" s="41"/>
      <c r="J165" s="41"/>
      <c r="K165" s="41"/>
      <c r="L165" s="41"/>
      <c r="M165" s="41"/>
      <c r="N165" s="41"/>
      <c r="O165" s="41"/>
      <c r="P165" s="41"/>
      <c r="Q165" s="41"/>
      <c r="R165" s="41"/>
      <c r="S165" s="41"/>
      <c r="T165" s="691"/>
      <c r="U165" s="691"/>
      <c r="V165" s="691"/>
      <c r="W165" s="691"/>
      <c r="X165" s="691"/>
      <c r="Y165" s="691"/>
      <c r="Z165" s="691"/>
      <c r="AA165" s="691"/>
      <c r="AB165" s="691"/>
      <c r="AC165" s="691"/>
      <c r="AD165" s="691"/>
      <c r="AE165" s="691"/>
      <c r="AF165" s="691"/>
      <c r="AG165" s="691"/>
      <c r="AH165" s="691"/>
      <c r="AI165" s="691"/>
      <c r="AJ165" s="691"/>
      <c r="AK165" s="691"/>
      <c r="AL165" s="691"/>
      <c r="AM165" s="691"/>
      <c r="AN165" s="691"/>
      <c r="AO165" s="691"/>
      <c r="AP165" s="691"/>
      <c r="AQ165" s="691"/>
      <c r="AR165" s="691"/>
      <c r="AS165" s="691"/>
      <c r="AT165" s="691"/>
      <c r="AU165" s="691"/>
      <c r="AV165" s="691"/>
      <c r="AW165" s="691"/>
      <c r="AX165" s="691"/>
      <c r="AY165" s="691"/>
      <c r="AZ165" s="691"/>
      <c r="BA165" s="691"/>
      <c r="BB165" s="691"/>
      <c r="BC165" s="691"/>
      <c r="BD165" s="691"/>
      <c r="BE165" s="691"/>
      <c r="BF165" s="691"/>
      <c r="BG165" s="691"/>
      <c r="BH165" s="691"/>
      <c r="BI165" s="691"/>
      <c r="BJ165" s="691"/>
      <c r="BK165" s="691"/>
      <c r="BL165" s="691"/>
      <c r="BM165" s="691"/>
      <c r="BN165" s="691"/>
      <c r="BO165" s="691"/>
      <c r="BP165" s="691"/>
      <c r="BQ165" s="691"/>
      <c r="BR165" s="691"/>
      <c r="BS165" s="691"/>
      <c r="BT165" s="691"/>
      <c r="BU165" s="691"/>
      <c r="BV165" s="691"/>
      <c r="BW165" s="691"/>
      <c r="BX165" s="691"/>
      <c r="BY165" s="691"/>
      <c r="BZ165" s="691"/>
      <c r="CA165" s="691"/>
      <c r="CB165" s="691"/>
      <c r="CC165" s="691"/>
      <c r="CD165" s="691"/>
      <c r="CE165" s="691"/>
      <c r="CF165" s="691"/>
      <c r="CG165" s="691"/>
      <c r="CH165" s="691"/>
      <c r="CI165" s="691"/>
      <c r="CJ165" s="691"/>
      <c r="CK165" s="691"/>
      <c r="CL165" s="691"/>
      <c r="CM165" s="691"/>
      <c r="CN165" s="691"/>
      <c r="CO165" s="691"/>
      <c r="CP165" s="691"/>
      <c r="CQ165" s="691"/>
      <c r="CR165" s="691"/>
      <c r="CS165" s="691"/>
      <c r="CT165" s="691"/>
      <c r="CU165" s="691"/>
      <c r="CV165" s="691"/>
      <c r="CW165" s="691"/>
      <c r="CX165" s="691"/>
      <c r="CY165" s="691"/>
      <c r="CZ165" s="691"/>
      <c r="DA165" s="691"/>
      <c r="DB165" s="691"/>
      <c r="DC165" s="691"/>
      <c r="DD165" s="691"/>
      <c r="DE165" s="691"/>
      <c r="DF165" s="691"/>
      <c r="DG165" s="691"/>
      <c r="DH165" s="691"/>
      <c r="DI165" s="691"/>
      <c r="DJ165" s="691"/>
      <c r="DK165" s="691"/>
      <c r="DL165" s="691"/>
      <c r="DM165" s="691"/>
      <c r="DN165" s="691"/>
      <c r="DO165" s="691"/>
      <c r="DP165" s="691"/>
      <c r="DQ165" s="691"/>
      <c r="DR165" s="691"/>
      <c r="DS165" s="691"/>
      <c r="DT165" s="691"/>
      <c r="DU165" s="691"/>
      <c r="DV165" s="691"/>
      <c r="DW165" s="691"/>
      <c r="DX165" s="691"/>
      <c r="DY165" s="691"/>
      <c r="DZ165" s="691"/>
      <c r="EA165" s="691"/>
      <c r="EB165" s="691"/>
      <c r="EC165" s="691"/>
      <c r="ED165" s="691"/>
      <c r="EE165" s="691"/>
      <c r="EF165" s="691"/>
      <c r="EG165" s="691"/>
      <c r="EH165" s="691"/>
      <c r="EI165" s="691"/>
      <c r="EJ165" s="691"/>
      <c r="EK165" s="691"/>
      <c r="EL165" s="691"/>
      <c r="EM165" s="691"/>
      <c r="EN165" s="691"/>
      <c r="EO165" s="691"/>
      <c r="EP165" s="691"/>
      <c r="EQ165" s="691"/>
      <c r="ER165" s="691"/>
      <c r="ES165" s="691"/>
      <c r="ET165" s="691"/>
      <c r="EU165" s="691"/>
      <c r="EV165" s="691"/>
      <c r="EW165" s="691"/>
      <c r="EX165" s="691"/>
      <c r="EY165" s="691"/>
      <c r="EZ165" s="691"/>
      <c r="FA165" s="691"/>
      <c r="FB165" s="691"/>
      <c r="FC165" s="691"/>
      <c r="FD165" s="691"/>
      <c r="FE165" s="691"/>
      <c r="FF165" s="691"/>
      <c r="FG165" s="691"/>
      <c r="FH165" s="691"/>
      <c r="FI165" s="691"/>
      <c r="FJ165" s="691"/>
      <c r="FK165" s="691"/>
      <c r="FL165" s="691"/>
      <c r="FM165" s="691"/>
      <c r="FN165" s="691"/>
      <c r="FO165" s="691"/>
      <c r="FP165" s="691"/>
      <c r="FQ165" s="691"/>
      <c r="FR165" s="691"/>
      <c r="FS165" s="691"/>
      <c r="FT165" s="691"/>
      <c r="FU165" s="691"/>
      <c r="FV165" s="691"/>
      <c r="FW165" s="691"/>
      <c r="FX165" s="691"/>
      <c r="FY165" s="691"/>
      <c r="FZ165" s="691"/>
      <c r="GA165" s="691"/>
      <c r="GB165" s="691"/>
      <c r="GC165" s="691"/>
      <c r="GD165" s="691"/>
      <c r="GE165" s="691"/>
      <c r="GF165" s="691"/>
      <c r="GG165" s="691"/>
      <c r="GH165" s="691"/>
      <c r="GI165" s="691"/>
      <c r="GJ165" s="691"/>
      <c r="GK165" s="691"/>
      <c r="GL165" s="691"/>
      <c r="GM165" s="691"/>
      <c r="GN165" s="691"/>
      <c r="GO165" s="691"/>
      <c r="GP165" s="691"/>
      <c r="GQ165" s="691"/>
      <c r="GR165" s="691"/>
      <c r="GS165" s="691"/>
      <c r="GT165" s="691"/>
      <c r="GU165" s="691"/>
      <c r="GV165" s="691"/>
      <c r="GW165" s="691"/>
      <c r="GX165" s="691"/>
      <c r="GY165" s="691"/>
      <c r="GZ165" s="691"/>
      <c r="HA165" s="691"/>
      <c r="HB165" s="691"/>
      <c r="HC165" s="691"/>
      <c r="HD165" s="691"/>
      <c r="HE165" s="691"/>
      <c r="HF165" s="691"/>
      <c r="HG165" s="691"/>
      <c r="HH165" s="691"/>
      <c r="HI165" s="691"/>
      <c r="HJ165" s="691"/>
      <c r="HK165" s="691"/>
      <c r="HL165" s="691"/>
      <c r="HM165" s="691"/>
      <c r="HN165" s="691"/>
      <c r="HO165" s="691"/>
      <c r="HP165" s="691"/>
      <c r="HQ165" s="691"/>
      <c r="HR165" s="691"/>
      <c r="HS165" s="691"/>
      <c r="HT165" s="691"/>
      <c r="HU165" s="691"/>
      <c r="HV165" s="691"/>
      <c r="HW165" s="691"/>
      <c r="HX165" s="691"/>
      <c r="HY165" s="691"/>
      <c r="HZ165" s="691"/>
      <c r="IA165" s="691"/>
      <c r="IB165" s="691"/>
      <c r="IC165" s="691"/>
      <c r="ID165" s="691"/>
      <c r="IE165" s="691"/>
      <c r="IF165" s="691"/>
      <c r="IG165" s="691"/>
      <c r="IH165" s="691"/>
      <c r="II165" s="691"/>
      <c r="IJ165" s="691"/>
      <c r="IK165" s="691"/>
      <c r="IL165" s="691"/>
      <c r="IM165" s="691"/>
      <c r="IN165" s="691"/>
    </row>
    <row r="166" spans="2:248" s="692" customFormat="1" ht="15.75">
      <c r="B166" s="706"/>
      <c r="C166" s="100" t="s">
        <v>2193</v>
      </c>
      <c r="D166" s="41"/>
      <c r="E166" s="41"/>
      <c r="F166" s="41"/>
      <c r="G166" s="41"/>
      <c r="H166" s="41"/>
      <c r="I166" s="41"/>
      <c r="J166" s="41"/>
      <c r="K166" s="41"/>
      <c r="L166" s="41"/>
      <c r="M166" s="41"/>
      <c r="N166" s="41"/>
      <c r="O166" s="41"/>
      <c r="P166" s="41"/>
      <c r="Q166" s="41"/>
      <c r="R166" s="41"/>
      <c r="S166" s="41"/>
      <c r="T166" s="691"/>
      <c r="U166" s="691"/>
      <c r="V166" s="691"/>
      <c r="W166" s="691"/>
      <c r="X166" s="691"/>
      <c r="Y166" s="691"/>
      <c r="Z166" s="691"/>
      <c r="AA166" s="691"/>
      <c r="AB166" s="691"/>
      <c r="AC166" s="691"/>
      <c r="AD166" s="691"/>
      <c r="AE166" s="691"/>
      <c r="AF166" s="691"/>
      <c r="AG166" s="691"/>
      <c r="AH166" s="691"/>
      <c r="AI166" s="691"/>
      <c r="AJ166" s="691"/>
      <c r="AK166" s="691"/>
      <c r="AL166" s="691"/>
      <c r="AM166" s="691"/>
      <c r="AN166" s="691"/>
      <c r="AO166" s="691"/>
      <c r="AP166" s="691"/>
      <c r="AQ166" s="691"/>
      <c r="AR166" s="691"/>
      <c r="AS166" s="691"/>
      <c r="AT166" s="691"/>
      <c r="AU166" s="691"/>
      <c r="AV166" s="691"/>
      <c r="AW166" s="691"/>
      <c r="AX166" s="691"/>
      <c r="AY166" s="691"/>
      <c r="AZ166" s="691"/>
      <c r="BA166" s="691"/>
      <c r="BB166" s="691"/>
      <c r="BC166" s="691"/>
      <c r="BD166" s="691"/>
      <c r="BE166" s="691"/>
      <c r="BF166" s="691"/>
      <c r="BG166" s="691"/>
      <c r="BH166" s="691"/>
      <c r="BI166" s="691"/>
      <c r="BJ166" s="691"/>
      <c r="BK166" s="691"/>
      <c r="BL166" s="691"/>
      <c r="BM166" s="691"/>
      <c r="BN166" s="691"/>
      <c r="BO166" s="691"/>
      <c r="BP166" s="691"/>
      <c r="BQ166" s="691"/>
      <c r="BR166" s="691"/>
      <c r="BS166" s="691"/>
      <c r="BT166" s="691"/>
      <c r="BU166" s="691"/>
      <c r="BV166" s="691"/>
      <c r="BW166" s="691"/>
      <c r="BX166" s="691"/>
      <c r="BY166" s="691"/>
      <c r="BZ166" s="691"/>
      <c r="CA166" s="691"/>
      <c r="CB166" s="691"/>
      <c r="CC166" s="691"/>
      <c r="CD166" s="691"/>
      <c r="CE166" s="691"/>
      <c r="CF166" s="691"/>
      <c r="CG166" s="691"/>
      <c r="CH166" s="691"/>
      <c r="CI166" s="691"/>
      <c r="CJ166" s="691"/>
      <c r="CK166" s="691"/>
      <c r="CL166" s="691"/>
      <c r="CM166" s="691"/>
      <c r="CN166" s="691"/>
      <c r="CO166" s="691"/>
      <c r="CP166" s="691"/>
      <c r="CQ166" s="691"/>
      <c r="CR166" s="691"/>
      <c r="CS166" s="691"/>
      <c r="CT166" s="691"/>
      <c r="CU166" s="691"/>
      <c r="CV166" s="691"/>
      <c r="CW166" s="691"/>
      <c r="CX166" s="691"/>
      <c r="CY166" s="691"/>
      <c r="CZ166" s="691"/>
      <c r="DA166" s="691"/>
      <c r="DB166" s="691"/>
      <c r="DC166" s="691"/>
      <c r="DD166" s="691"/>
      <c r="DE166" s="691"/>
      <c r="DF166" s="691"/>
      <c r="DG166" s="691"/>
      <c r="DH166" s="691"/>
      <c r="DI166" s="691"/>
      <c r="DJ166" s="691"/>
      <c r="DK166" s="691"/>
      <c r="DL166" s="691"/>
      <c r="DM166" s="691"/>
      <c r="DN166" s="691"/>
      <c r="DO166" s="691"/>
      <c r="DP166" s="691"/>
      <c r="DQ166" s="691"/>
      <c r="DR166" s="691"/>
      <c r="DS166" s="691"/>
      <c r="DT166" s="691"/>
      <c r="DU166" s="691"/>
      <c r="DV166" s="691"/>
      <c r="DW166" s="691"/>
      <c r="DX166" s="691"/>
      <c r="DY166" s="691"/>
      <c r="DZ166" s="691"/>
      <c r="EA166" s="691"/>
      <c r="EB166" s="691"/>
      <c r="EC166" s="691"/>
      <c r="ED166" s="691"/>
      <c r="EE166" s="691"/>
      <c r="EF166" s="691"/>
      <c r="EG166" s="691"/>
      <c r="EH166" s="691"/>
      <c r="EI166" s="691"/>
      <c r="EJ166" s="691"/>
      <c r="EK166" s="691"/>
      <c r="EL166" s="691"/>
      <c r="EM166" s="691"/>
      <c r="EN166" s="691"/>
      <c r="EO166" s="691"/>
      <c r="EP166" s="691"/>
      <c r="EQ166" s="691"/>
      <c r="ER166" s="691"/>
      <c r="ES166" s="691"/>
      <c r="ET166" s="691"/>
      <c r="EU166" s="691"/>
      <c r="EV166" s="691"/>
      <c r="EW166" s="691"/>
      <c r="EX166" s="691"/>
      <c r="EY166" s="691"/>
      <c r="EZ166" s="691"/>
      <c r="FA166" s="691"/>
      <c r="FB166" s="691"/>
      <c r="FC166" s="691"/>
      <c r="FD166" s="691"/>
      <c r="FE166" s="691"/>
      <c r="FF166" s="691"/>
      <c r="FG166" s="691"/>
      <c r="FH166" s="691"/>
      <c r="FI166" s="691"/>
      <c r="FJ166" s="691"/>
      <c r="FK166" s="691"/>
      <c r="FL166" s="691"/>
      <c r="FM166" s="691"/>
      <c r="FN166" s="691"/>
      <c r="FO166" s="691"/>
      <c r="FP166" s="691"/>
      <c r="FQ166" s="691"/>
      <c r="FR166" s="691"/>
      <c r="FS166" s="691"/>
      <c r="FT166" s="691"/>
      <c r="FU166" s="691"/>
      <c r="FV166" s="691"/>
      <c r="FW166" s="691"/>
      <c r="FX166" s="691"/>
      <c r="FY166" s="691"/>
      <c r="FZ166" s="691"/>
      <c r="GA166" s="691"/>
      <c r="GB166" s="691"/>
      <c r="GC166" s="691"/>
      <c r="GD166" s="691"/>
      <c r="GE166" s="691"/>
      <c r="GF166" s="691"/>
      <c r="GG166" s="691"/>
      <c r="GH166" s="691"/>
      <c r="GI166" s="691"/>
      <c r="GJ166" s="691"/>
      <c r="GK166" s="691"/>
      <c r="GL166" s="691"/>
      <c r="GM166" s="691"/>
      <c r="GN166" s="691"/>
      <c r="GO166" s="691"/>
      <c r="GP166" s="691"/>
      <c r="GQ166" s="691"/>
      <c r="GR166" s="691"/>
      <c r="GS166" s="691"/>
      <c r="GT166" s="691"/>
      <c r="GU166" s="691"/>
      <c r="GV166" s="691"/>
      <c r="GW166" s="691"/>
      <c r="GX166" s="691"/>
      <c r="GY166" s="691"/>
      <c r="GZ166" s="691"/>
      <c r="HA166" s="691"/>
      <c r="HB166" s="691"/>
      <c r="HC166" s="691"/>
      <c r="HD166" s="691"/>
      <c r="HE166" s="691"/>
      <c r="HF166" s="691"/>
      <c r="HG166" s="691"/>
      <c r="HH166" s="691"/>
      <c r="HI166" s="691"/>
      <c r="HJ166" s="691"/>
      <c r="HK166" s="691"/>
      <c r="HL166" s="691"/>
      <c r="HM166" s="691"/>
      <c r="HN166" s="691"/>
      <c r="HO166" s="691"/>
      <c r="HP166" s="691"/>
      <c r="HQ166" s="691"/>
      <c r="HR166" s="691"/>
      <c r="HS166" s="691"/>
      <c r="HT166" s="691"/>
      <c r="HU166" s="691"/>
      <c r="HV166" s="691"/>
      <c r="HW166" s="691"/>
      <c r="HX166" s="691"/>
      <c r="HY166" s="691"/>
      <c r="HZ166" s="691"/>
      <c r="IA166" s="691"/>
      <c r="IB166" s="691"/>
      <c r="IC166" s="691"/>
      <c r="ID166" s="691"/>
      <c r="IE166" s="691"/>
      <c r="IF166" s="691"/>
      <c r="IG166" s="691"/>
      <c r="IH166" s="691"/>
      <c r="II166" s="691"/>
      <c r="IJ166" s="691"/>
      <c r="IK166" s="691"/>
      <c r="IL166" s="691"/>
      <c r="IM166" s="691"/>
      <c r="IN166" s="691"/>
    </row>
    <row r="167" spans="2:248" customFormat="1" ht="15.75">
      <c r="C167" s="5"/>
      <c r="D167" s="43"/>
      <c r="E167" s="42"/>
      <c r="F167" s="41"/>
      <c r="G167" s="41"/>
      <c r="H167" s="691"/>
      <c r="I167" s="691"/>
      <c r="J167" s="691"/>
      <c r="K167" s="691"/>
      <c r="L167" s="691"/>
      <c r="M167" s="691"/>
      <c r="N167" s="691"/>
      <c r="O167" s="691"/>
      <c r="P167" s="691"/>
      <c r="Q167" s="691"/>
      <c r="R167" s="691"/>
      <c r="S167" s="691"/>
      <c r="T167" s="691"/>
    </row>
    <row r="168" spans="2:248" s="692" customFormat="1" ht="15.75">
      <c r="B168"/>
      <c r="C168" s="688" t="s">
        <v>2194</v>
      </c>
      <c r="D168" s="716"/>
      <c r="E168" s="716"/>
      <c r="F168" s="716"/>
      <c r="G168" s="716"/>
      <c r="H168" s="716"/>
      <c r="I168" s="716"/>
      <c r="J168" s="716"/>
      <c r="K168" s="716"/>
      <c r="L168"/>
      <c r="M168"/>
      <c r="N168"/>
      <c r="O168"/>
      <c r="P168"/>
      <c r="Q168"/>
      <c r="R168"/>
      <c r="S168"/>
      <c r="T168"/>
      <c r="U168" s="691"/>
      <c r="V168" s="691"/>
      <c r="W168" s="691"/>
      <c r="X168" s="691"/>
      <c r="Y168" s="691"/>
      <c r="Z168" s="691"/>
      <c r="AA168" s="691"/>
      <c r="AB168" s="691"/>
      <c r="AC168" s="691"/>
      <c r="AD168" s="691"/>
      <c r="AE168" s="691"/>
      <c r="AF168" s="691"/>
      <c r="AG168" s="691"/>
      <c r="AH168" s="691"/>
      <c r="AI168" s="691"/>
      <c r="AJ168" s="691"/>
      <c r="AK168" s="691"/>
      <c r="AL168" s="691"/>
      <c r="AM168" s="691"/>
      <c r="AN168" s="691"/>
      <c r="AO168" s="691"/>
      <c r="AP168" s="691"/>
      <c r="AQ168" s="691"/>
      <c r="AR168" s="691"/>
      <c r="AS168" s="691"/>
      <c r="AT168" s="691"/>
      <c r="AU168" s="691"/>
      <c r="AV168" s="691"/>
      <c r="AW168" s="691"/>
      <c r="AX168" s="691"/>
      <c r="AY168" s="691"/>
      <c r="AZ168" s="691"/>
      <c r="BA168" s="691"/>
      <c r="BB168" s="691"/>
      <c r="BC168" s="691"/>
      <c r="BD168" s="691"/>
      <c r="BE168" s="691"/>
      <c r="BF168" s="691"/>
      <c r="BG168" s="691"/>
      <c r="BH168" s="691"/>
      <c r="BI168" s="691"/>
      <c r="BJ168" s="691"/>
      <c r="BK168" s="691"/>
      <c r="BL168" s="691"/>
      <c r="BM168" s="691"/>
      <c r="BN168" s="691"/>
      <c r="BO168" s="691"/>
      <c r="BP168" s="691"/>
      <c r="BQ168" s="691"/>
      <c r="BR168" s="691"/>
      <c r="BS168" s="691"/>
      <c r="BT168" s="691"/>
      <c r="BU168" s="691"/>
      <c r="BV168" s="691"/>
      <c r="BW168" s="691"/>
      <c r="BX168" s="691"/>
      <c r="BY168" s="691"/>
      <c r="BZ168" s="691"/>
      <c r="CA168" s="691"/>
      <c r="CB168" s="691"/>
      <c r="CC168" s="691"/>
      <c r="CD168" s="691"/>
      <c r="CE168" s="691"/>
      <c r="CF168" s="691"/>
      <c r="CG168" s="691"/>
      <c r="CH168" s="691"/>
      <c r="CI168" s="691"/>
      <c r="CJ168" s="691"/>
      <c r="CK168" s="691"/>
      <c r="CL168" s="691"/>
      <c r="CM168" s="691"/>
      <c r="CN168" s="691"/>
      <c r="CO168" s="691"/>
      <c r="CP168" s="691"/>
      <c r="CQ168" s="691"/>
      <c r="CR168" s="691"/>
      <c r="CS168" s="691"/>
      <c r="CT168" s="691"/>
      <c r="CU168" s="691"/>
      <c r="CV168" s="691"/>
      <c r="CW168" s="691"/>
      <c r="CX168" s="691"/>
      <c r="CY168" s="691"/>
      <c r="CZ168" s="691"/>
      <c r="DA168" s="691"/>
      <c r="DB168" s="691"/>
      <c r="DC168" s="691"/>
      <c r="DD168" s="691"/>
      <c r="DE168" s="691"/>
      <c r="DF168" s="691"/>
      <c r="DG168" s="691"/>
      <c r="DH168" s="691"/>
      <c r="DI168" s="691"/>
      <c r="DJ168" s="691"/>
      <c r="DK168" s="691"/>
      <c r="DL168" s="691"/>
      <c r="DM168" s="691"/>
      <c r="DN168" s="691"/>
      <c r="DO168" s="691"/>
      <c r="DP168" s="691"/>
      <c r="DQ168" s="691"/>
      <c r="DR168" s="691"/>
      <c r="DS168" s="691"/>
      <c r="DT168" s="691"/>
      <c r="DU168" s="691"/>
      <c r="DV168" s="691"/>
      <c r="DW168" s="691"/>
      <c r="DX168" s="691"/>
      <c r="DY168" s="691"/>
      <c r="DZ168" s="691"/>
      <c r="EA168" s="691"/>
      <c r="EB168" s="691"/>
      <c r="EC168" s="691"/>
      <c r="ED168" s="691"/>
      <c r="EE168" s="691"/>
      <c r="EF168" s="691"/>
      <c r="EG168" s="691"/>
      <c r="EH168" s="691"/>
      <c r="EI168" s="691"/>
      <c r="EJ168" s="691"/>
      <c r="EK168" s="691"/>
      <c r="EL168" s="691"/>
      <c r="EM168" s="691"/>
      <c r="EN168" s="691"/>
      <c r="EO168" s="691"/>
      <c r="EP168" s="691"/>
      <c r="EQ168" s="691"/>
      <c r="ER168" s="691"/>
      <c r="ES168" s="691"/>
      <c r="ET168" s="691"/>
      <c r="EU168" s="691"/>
      <c r="EV168" s="691"/>
      <c r="EW168" s="691"/>
      <c r="EX168" s="691"/>
      <c r="EY168" s="691"/>
      <c r="EZ168" s="691"/>
      <c r="FA168" s="691"/>
      <c r="FB168" s="691"/>
      <c r="FC168" s="691"/>
      <c r="FD168" s="691"/>
      <c r="FE168" s="691"/>
      <c r="FF168" s="691"/>
      <c r="FG168" s="691"/>
      <c r="FH168" s="691"/>
      <c r="FI168" s="691"/>
      <c r="FJ168" s="691"/>
      <c r="FK168" s="691"/>
      <c r="FL168" s="691"/>
      <c r="FM168" s="691"/>
      <c r="FN168" s="691"/>
      <c r="FO168" s="691"/>
      <c r="FP168" s="691"/>
      <c r="FQ168" s="691"/>
      <c r="FR168" s="691"/>
      <c r="FS168" s="691"/>
      <c r="FT168" s="691"/>
      <c r="FU168" s="691"/>
      <c r="FV168" s="691"/>
      <c r="FW168" s="691"/>
      <c r="FX168" s="691"/>
      <c r="FY168" s="691"/>
      <c r="FZ168" s="691"/>
      <c r="GA168" s="691"/>
      <c r="GB168" s="691"/>
      <c r="GC168" s="691"/>
      <c r="GD168" s="691"/>
      <c r="GE168" s="691"/>
      <c r="GF168" s="691"/>
      <c r="GG168" s="691"/>
      <c r="GH168" s="691"/>
      <c r="GI168" s="691"/>
      <c r="GJ168" s="691"/>
      <c r="GK168" s="691"/>
      <c r="GL168" s="691"/>
      <c r="GM168" s="691"/>
      <c r="GN168" s="691"/>
      <c r="GO168" s="691"/>
      <c r="GP168" s="691"/>
      <c r="GQ168" s="691"/>
      <c r="GR168" s="691"/>
      <c r="GS168" s="691"/>
      <c r="GT168" s="691"/>
      <c r="GU168" s="691"/>
      <c r="GV168" s="691"/>
      <c r="GW168" s="691"/>
      <c r="GX168" s="691"/>
      <c r="GY168" s="691"/>
      <c r="GZ168" s="691"/>
      <c r="HA168" s="691"/>
      <c r="HB168" s="691"/>
      <c r="HC168" s="691"/>
      <c r="HD168" s="691"/>
      <c r="HE168" s="691"/>
      <c r="HF168" s="691"/>
      <c r="HG168" s="691"/>
      <c r="HH168" s="691"/>
      <c r="HI168" s="691"/>
      <c r="HJ168" s="691"/>
      <c r="HK168" s="691"/>
      <c r="HL168" s="691"/>
      <c r="HM168" s="691"/>
      <c r="HN168" s="691"/>
      <c r="HO168" s="691"/>
      <c r="HP168" s="691"/>
      <c r="HQ168" s="691"/>
      <c r="HR168" s="691"/>
      <c r="HS168" s="691"/>
      <c r="HT168" s="691"/>
      <c r="HU168" s="691"/>
      <c r="HV168" s="691"/>
      <c r="HW168" s="691"/>
      <c r="HX168" s="691"/>
      <c r="HY168" s="691"/>
      <c r="HZ168" s="691"/>
      <c r="IA168" s="691"/>
      <c r="IB168" s="691"/>
      <c r="IC168" s="691"/>
      <c r="ID168" s="691"/>
      <c r="IE168" s="691"/>
      <c r="IF168" s="691"/>
      <c r="IG168" s="691"/>
      <c r="IH168" s="691"/>
      <c r="II168" s="691"/>
      <c r="IJ168" s="691"/>
      <c r="IK168" s="691"/>
      <c r="IL168" s="691"/>
      <c r="IM168" s="691"/>
      <c r="IN168" s="691"/>
    </row>
    <row r="169" spans="2:248" s="692" customFormat="1" ht="15.75">
      <c r="B169" s="699">
        <v>1</v>
      </c>
      <c r="C169" s="24" t="s">
        <v>297</v>
      </c>
      <c r="D169" s="39">
        <v>73.86</v>
      </c>
      <c r="E169" s="24" t="s">
        <v>150</v>
      </c>
      <c r="F169" s="34" t="s">
        <v>296</v>
      </c>
      <c r="G169" s="96"/>
      <c r="H169" s="96"/>
      <c r="I169" s="96"/>
      <c r="J169" s="96"/>
      <c r="K169" s="97"/>
      <c r="L169" s="691"/>
      <c r="M169" s="691"/>
      <c r="N169" s="691"/>
      <c r="O169" s="691"/>
      <c r="P169" s="691"/>
      <c r="Q169" s="691"/>
      <c r="R169" s="691"/>
      <c r="S169" s="691"/>
      <c r="T169" s="691"/>
      <c r="U169" s="691"/>
      <c r="V169" s="691"/>
      <c r="W169" s="691"/>
      <c r="X169" s="691"/>
      <c r="Y169" s="691"/>
      <c r="Z169" s="691"/>
      <c r="AA169" s="691"/>
      <c r="AB169" s="691"/>
      <c r="AC169" s="691"/>
      <c r="AD169" s="691"/>
      <c r="AE169" s="691"/>
      <c r="AF169" s="691"/>
      <c r="AG169" s="691"/>
      <c r="AH169" s="691"/>
      <c r="AI169" s="691"/>
      <c r="AJ169" s="691"/>
      <c r="AK169" s="691"/>
      <c r="AL169" s="691"/>
      <c r="AM169" s="691"/>
      <c r="AN169" s="691"/>
      <c r="AO169" s="691"/>
      <c r="AP169" s="691"/>
      <c r="AQ169" s="691"/>
      <c r="AR169" s="691"/>
      <c r="AS169" s="691"/>
      <c r="AT169" s="691"/>
      <c r="AU169" s="691"/>
      <c r="AV169" s="691"/>
      <c r="AW169" s="691"/>
      <c r="AX169" s="691"/>
      <c r="AY169" s="691"/>
      <c r="AZ169" s="691"/>
      <c r="BA169" s="691"/>
      <c r="BB169" s="691"/>
      <c r="BC169" s="691"/>
      <c r="BD169" s="691"/>
      <c r="BE169" s="691"/>
      <c r="BF169" s="691"/>
      <c r="BG169" s="691"/>
      <c r="BH169" s="691"/>
      <c r="BI169" s="691"/>
      <c r="BJ169" s="691"/>
      <c r="BK169" s="691"/>
      <c r="BL169" s="691"/>
      <c r="BM169" s="691"/>
      <c r="BN169" s="691"/>
      <c r="BO169" s="691"/>
      <c r="BP169" s="691"/>
      <c r="BQ169" s="691"/>
      <c r="BR169" s="691"/>
      <c r="BS169" s="691"/>
      <c r="BT169" s="691"/>
      <c r="BU169" s="691"/>
      <c r="BV169" s="691"/>
      <c r="BW169" s="691"/>
      <c r="BX169" s="691"/>
      <c r="BY169" s="691"/>
      <c r="BZ169" s="691"/>
      <c r="CA169" s="691"/>
      <c r="CB169" s="691"/>
      <c r="CC169" s="691"/>
      <c r="CD169" s="691"/>
      <c r="CE169" s="691"/>
      <c r="CF169" s="691"/>
      <c r="CG169" s="691"/>
      <c r="CH169" s="691"/>
      <c r="CI169" s="691"/>
      <c r="CJ169" s="691"/>
      <c r="CK169" s="691"/>
      <c r="CL169" s="691"/>
      <c r="CM169" s="691"/>
      <c r="CN169" s="691"/>
      <c r="CO169" s="691"/>
      <c r="CP169" s="691"/>
      <c r="CQ169" s="691"/>
      <c r="CR169" s="691"/>
      <c r="CS169" s="691"/>
      <c r="CT169" s="691"/>
      <c r="CU169" s="691"/>
      <c r="CV169" s="691"/>
      <c r="CW169" s="691"/>
      <c r="CX169" s="691"/>
      <c r="CY169" s="691"/>
      <c r="CZ169" s="691"/>
      <c r="DA169" s="691"/>
      <c r="DB169" s="691"/>
      <c r="DC169" s="691"/>
      <c r="DD169" s="691"/>
      <c r="DE169" s="691"/>
      <c r="DF169" s="691"/>
      <c r="DG169" s="691"/>
      <c r="DH169" s="691"/>
      <c r="DI169" s="691"/>
      <c r="DJ169" s="691"/>
      <c r="DK169" s="691"/>
      <c r="DL169" s="691"/>
      <c r="DM169" s="691"/>
      <c r="DN169" s="691"/>
      <c r="DO169" s="691"/>
      <c r="DP169" s="691"/>
      <c r="DQ169" s="691"/>
      <c r="DR169" s="691"/>
      <c r="DS169" s="691"/>
      <c r="DT169" s="691"/>
      <c r="DU169" s="691"/>
      <c r="DV169" s="691"/>
      <c r="DW169" s="691"/>
      <c r="DX169" s="691"/>
      <c r="DY169" s="691"/>
      <c r="DZ169" s="691"/>
      <c r="EA169" s="691"/>
      <c r="EB169" s="691"/>
      <c r="EC169" s="691"/>
      <c r="ED169" s="691"/>
      <c r="EE169" s="691"/>
      <c r="EF169" s="691"/>
      <c r="EG169" s="691"/>
      <c r="EH169" s="691"/>
      <c r="EI169" s="691"/>
      <c r="EJ169" s="691"/>
      <c r="EK169" s="691"/>
      <c r="EL169" s="691"/>
      <c r="EM169" s="691"/>
      <c r="EN169" s="691"/>
      <c r="EO169" s="691"/>
      <c r="EP169" s="691"/>
      <c r="EQ169" s="691"/>
      <c r="ER169" s="691"/>
      <c r="ES169" s="691"/>
      <c r="ET169" s="691"/>
      <c r="EU169" s="691"/>
      <c r="EV169" s="691"/>
      <c r="EW169" s="691"/>
      <c r="EX169" s="691"/>
      <c r="EY169" s="691"/>
      <c r="EZ169" s="691"/>
      <c r="FA169" s="691"/>
      <c r="FB169" s="691"/>
      <c r="FC169" s="691"/>
      <c r="FD169" s="691"/>
      <c r="FE169" s="691"/>
      <c r="FF169" s="691"/>
      <c r="FG169" s="691"/>
      <c r="FH169" s="691"/>
      <c r="FI169" s="691"/>
      <c r="FJ169" s="691"/>
      <c r="FK169" s="691"/>
      <c r="FL169" s="691"/>
      <c r="FM169" s="691"/>
      <c r="FN169" s="691"/>
      <c r="FO169" s="691"/>
      <c r="FP169" s="691"/>
      <c r="FQ169" s="691"/>
      <c r="FR169" s="691"/>
      <c r="FS169" s="691"/>
      <c r="FT169" s="691"/>
      <c r="FU169" s="691"/>
      <c r="FV169" s="691"/>
      <c r="FW169" s="691"/>
      <c r="FX169" s="691"/>
      <c r="FY169" s="691"/>
      <c r="FZ169" s="691"/>
      <c r="GA169" s="691"/>
      <c r="GB169" s="691"/>
      <c r="GC169" s="691"/>
      <c r="GD169" s="691"/>
      <c r="GE169" s="691"/>
      <c r="GF169" s="691"/>
      <c r="GG169" s="691"/>
      <c r="GH169" s="691"/>
      <c r="GI169" s="691"/>
      <c r="GJ169" s="691"/>
      <c r="GK169" s="691"/>
      <c r="GL169" s="691"/>
      <c r="GM169" s="691"/>
      <c r="GN169" s="691"/>
      <c r="GO169" s="691"/>
      <c r="GP169" s="691"/>
      <c r="GQ169" s="691"/>
      <c r="GR169" s="691"/>
      <c r="GS169" s="691"/>
      <c r="GT169" s="691"/>
      <c r="GU169" s="691"/>
      <c r="GV169" s="691"/>
      <c r="GW169" s="691"/>
      <c r="GX169" s="691"/>
      <c r="GY169" s="691"/>
      <c r="GZ169" s="691"/>
      <c r="HA169" s="691"/>
      <c r="HB169" s="691"/>
      <c r="HC169" s="691"/>
      <c r="HD169" s="691"/>
      <c r="HE169" s="691"/>
      <c r="HF169" s="691"/>
      <c r="HG169" s="691"/>
      <c r="HH169" s="691"/>
      <c r="HI169" s="691"/>
      <c r="HJ169" s="691"/>
      <c r="HK169" s="691"/>
      <c r="HL169" s="691"/>
      <c r="HM169" s="691"/>
      <c r="HN169" s="691"/>
      <c r="HO169" s="691"/>
      <c r="HP169" s="691"/>
      <c r="HQ169" s="691"/>
      <c r="HR169" s="691"/>
      <c r="HS169" s="691"/>
      <c r="HT169" s="691"/>
      <c r="HU169" s="691"/>
      <c r="HV169" s="691"/>
      <c r="HW169" s="691"/>
      <c r="HX169" s="691"/>
      <c r="HY169" s="691"/>
      <c r="HZ169" s="691"/>
      <c r="IA169" s="691"/>
      <c r="IB169" s="691"/>
      <c r="IC169" s="691"/>
      <c r="ID169" s="691"/>
      <c r="IE169" s="691"/>
      <c r="IF169" s="691"/>
      <c r="IG169" s="691"/>
      <c r="IH169" s="691"/>
      <c r="II169" s="691"/>
      <c r="IJ169" s="691"/>
      <c r="IK169" s="691"/>
      <c r="IL169" s="691"/>
      <c r="IM169" s="691"/>
      <c r="IN169" s="691"/>
    </row>
    <row r="170" spans="2:248" s="692" customFormat="1" ht="15.75">
      <c r="B170" s="699">
        <v>2</v>
      </c>
      <c r="C170" s="24" t="s">
        <v>298</v>
      </c>
      <c r="D170" s="39">
        <v>105.17</v>
      </c>
      <c r="E170" s="24" t="s">
        <v>150</v>
      </c>
      <c r="F170" s="34" t="s">
        <v>296</v>
      </c>
      <c r="G170" s="96"/>
      <c r="H170" s="96"/>
      <c r="I170" s="96"/>
      <c r="J170" s="96"/>
      <c r="K170" s="97"/>
      <c r="L170" s="691"/>
      <c r="M170" s="691"/>
      <c r="N170" s="691"/>
      <c r="O170" s="691"/>
      <c r="P170" s="691"/>
      <c r="Q170" s="691"/>
      <c r="R170" s="691"/>
      <c r="S170" s="691"/>
      <c r="T170" s="691"/>
      <c r="U170" s="691"/>
      <c r="V170" s="691"/>
      <c r="W170" s="691"/>
      <c r="X170" s="691"/>
      <c r="Y170" s="691"/>
      <c r="Z170" s="691"/>
      <c r="AA170" s="691"/>
      <c r="AB170" s="691"/>
      <c r="AC170" s="691"/>
      <c r="AD170" s="691"/>
      <c r="AE170" s="691"/>
      <c r="AF170" s="691"/>
      <c r="AG170" s="691"/>
      <c r="AH170" s="691"/>
      <c r="AI170" s="691"/>
      <c r="AJ170" s="691"/>
      <c r="AK170" s="691"/>
      <c r="AL170" s="691"/>
      <c r="AM170" s="691"/>
      <c r="AN170" s="691"/>
      <c r="AO170" s="691"/>
      <c r="AP170" s="691"/>
      <c r="AQ170" s="691"/>
      <c r="AR170" s="691"/>
      <c r="AS170" s="691"/>
      <c r="AT170" s="691"/>
      <c r="AU170" s="691"/>
      <c r="AV170" s="691"/>
      <c r="AW170" s="691"/>
      <c r="AX170" s="691"/>
      <c r="AY170" s="691"/>
      <c r="AZ170" s="691"/>
      <c r="BA170" s="691"/>
      <c r="BB170" s="691"/>
      <c r="BC170" s="691"/>
      <c r="BD170" s="691"/>
      <c r="BE170" s="691"/>
      <c r="BF170" s="691"/>
      <c r="BG170" s="691"/>
      <c r="BH170" s="691"/>
      <c r="BI170" s="691"/>
      <c r="BJ170" s="691"/>
      <c r="BK170" s="691"/>
      <c r="BL170" s="691"/>
      <c r="BM170" s="691"/>
      <c r="BN170" s="691"/>
      <c r="BO170" s="691"/>
      <c r="BP170" s="691"/>
      <c r="BQ170" s="691"/>
      <c r="BR170" s="691"/>
      <c r="BS170" s="691"/>
      <c r="BT170" s="691"/>
      <c r="BU170" s="691"/>
      <c r="BV170" s="691"/>
      <c r="BW170" s="691"/>
      <c r="BX170" s="691"/>
      <c r="BY170" s="691"/>
      <c r="BZ170" s="691"/>
      <c r="CA170" s="691"/>
      <c r="CB170" s="691"/>
      <c r="CC170" s="691"/>
      <c r="CD170" s="691"/>
      <c r="CE170" s="691"/>
      <c r="CF170" s="691"/>
      <c r="CG170" s="691"/>
      <c r="CH170" s="691"/>
      <c r="CI170" s="691"/>
      <c r="CJ170" s="691"/>
      <c r="CK170" s="691"/>
      <c r="CL170" s="691"/>
      <c r="CM170" s="691"/>
      <c r="CN170" s="691"/>
      <c r="CO170" s="691"/>
      <c r="CP170" s="691"/>
      <c r="CQ170" s="691"/>
      <c r="CR170" s="691"/>
      <c r="CS170" s="691"/>
      <c r="CT170" s="691"/>
      <c r="CU170" s="691"/>
      <c r="CV170" s="691"/>
      <c r="CW170" s="691"/>
      <c r="CX170" s="691"/>
      <c r="CY170" s="691"/>
      <c r="CZ170" s="691"/>
      <c r="DA170" s="691"/>
      <c r="DB170" s="691"/>
      <c r="DC170" s="691"/>
      <c r="DD170" s="691"/>
      <c r="DE170" s="691"/>
      <c r="DF170" s="691"/>
      <c r="DG170" s="691"/>
      <c r="DH170" s="691"/>
      <c r="DI170" s="691"/>
      <c r="DJ170" s="691"/>
      <c r="DK170" s="691"/>
      <c r="DL170" s="691"/>
      <c r="DM170" s="691"/>
      <c r="DN170" s="691"/>
      <c r="DO170" s="691"/>
      <c r="DP170" s="691"/>
      <c r="DQ170" s="691"/>
      <c r="DR170" s="691"/>
      <c r="DS170" s="691"/>
      <c r="DT170" s="691"/>
      <c r="DU170" s="691"/>
      <c r="DV170" s="691"/>
      <c r="DW170" s="691"/>
      <c r="DX170" s="691"/>
      <c r="DY170" s="691"/>
      <c r="DZ170" s="691"/>
      <c r="EA170" s="691"/>
      <c r="EB170" s="691"/>
      <c r="EC170" s="691"/>
      <c r="ED170" s="691"/>
      <c r="EE170" s="691"/>
      <c r="EF170" s="691"/>
      <c r="EG170" s="691"/>
      <c r="EH170" s="691"/>
      <c r="EI170" s="691"/>
      <c r="EJ170" s="691"/>
      <c r="EK170" s="691"/>
      <c r="EL170" s="691"/>
      <c r="EM170" s="691"/>
      <c r="EN170" s="691"/>
      <c r="EO170" s="691"/>
      <c r="EP170" s="691"/>
      <c r="EQ170" s="691"/>
      <c r="ER170" s="691"/>
      <c r="ES170" s="691"/>
      <c r="ET170" s="691"/>
      <c r="EU170" s="691"/>
      <c r="EV170" s="691"/>
      <c r="EW170" s="691"/>
      <c r="EX170" s="691"/>
      <c r="EY170" s="691"/>
      <c r="EZ170" s="691"/>
      <c r="FA170" s="691"/>
      <c r="FB170" s="691"/>
      <c r="FC170" s="691"/>
      <c r="FD170" s="691"/>
      <c r="FE170" s="691"/>
      <c r="FF170" s="691"/>
      <c r="FG170" s="691"/>
      <c r="FH170" s="691"/>
      <c r="FI170" s="691"/>
      <c r="FJ170" s="691"/>
      <c r="FK170" s="691"/>
      <c r="FL170" s="691"/>
      <c r="FM170" s="691"/>
      <c r="FN170" s="691"/>
      <c r="FO170" s="691"/>
      <c r="FP170" s="691"/>
      <c r="FQ170" s="691"/>
      <c r="FR170" s="691"/>
      <c r="FS170" s="691"/>
      <c r="FT170" s="691"/>
      <c r="FU170" s="691"/>
      <c r="FV170" s="691"/>
      <c r="FW170" s="691"/>
      <c r="FX170" s="691"/>
      <c r="FY170" s="691"/>
      <c r="FZ170" s="691"/>
      <c r="GA170" s="691"/>
      <c r="GB170" s="691"/>
      <c r="GC170" s="691"/>
      <c r="GD170" s="691"/>
      <c r="GE170" s="691"/>
      <c r="GF170" s="691"/>
      <c r="GG170" s="691"/>
      <c r="GH170" s="691"/>
      <c r="GI170" s="691"/>
      <c r="GJ170" s="691"/>
      <c r="GK170" s="691"/>
      <c r="GL170" s="691"/>
      <c r="GM170" s="691"/>
      <c r="GN170" s="691"/>
      <c r="GO170" s="691"/>
      <c r="GP170" s="691"/>
      <c r="GQ170" s="691"/>
      <c r="GR170" s="691"/>
      <c r="GS170" s="691"/>
      <c r="GT170" s="691"/>
      <c r="GU170" s="691"/>
      <c r="GV170" s="691"/>
      <c r="GW170" s="691"/>
      <c r="GX170" s="691"/>
      <c r="GY170" s="691"/>
      <c r="GZ170" s="691"/>
      <c r="HA170" s="691"/>
      <c r="HB170" s="691"/>
      <c r="HC170" s="691"/>
      <c r="HD170" s="691"/>
      <c r="HE170" s="691"/>
      <c r="HF170" s="691"/>
      <c r="HG170" s="691"/>
      <c r="HH170" s="691"/>
      <c r="HI170" s="691"/>
      <c r="HJ170" s="691"/>
      <c r="HK170" s="691"/>
      <c r="HL170" s="691"/>
      <c r="HM170" s="691"/>
      <c r="HN170" s="691"/>
      <c r="HO170" s="691"/>
      <c r="HP170" s="691"/>
      <c r="HQ170" s="691"/>
      <c r="HR170" s="691"/>
      <c r="HS170" s="691"/>
      <c r="HT170" s="691"/>
      <c r="HU170" s="691"/>
      <c r="HV170" s="691"/>
      <c r="HW170" s="691"/>
      <c r="HX170" s="691"/>
      <c r="HY170" s="691"/>
      <c r="HZ170" s="691"/>
      <c r="IA170" s="691"/>
      <c r="IB170" s="691"/>
      <c r="IC170" s="691"/>
      <c r="ID170" s="691"/>
      <c r="IE170" s="691"/>
      <c r="IF170" s="691"/>
      <c r="IG170" s="691"/>
      <c r="IH170" s="691"/>
      <c r="II170" s="691"/>
      <c r="IJ170" s="691"/>
      <c r="IK170" s="691"/>
      <c r="IL170" s="691"/>
      <c r="IM170" s="691"/>
      <c r="IN170" s="691"/>
    </row>
    <row r="171" spans="2:248" s="692" customFormat="1" ht="15.75">
      <c r="B171" s="699">
        <v>3</v>
      </c>
      <c r="C171" s="24" t="s">
        <v>299</v>
      </c>
      <c r="D171" s="39">
        <v>141.12</v>
      </c>
      <c r="E171" s="24" t="s">
        <v>150</v>
      </c>
      <c r="F171" s="34" t="s">
        <v>296</v>
      </c>
      <c r="G171" s="96"/>
      <c r="H171" s="96"/>
      <c r="I171" s="96"/>
      <c r="J171" s="96"/>
      <c r="K171" s="97"/>
      <c r="L171" s="691"/>
      <c r="M171" s="691"/>
      <c r="N171" s="691"/>
      <c r="O171" s="691"/>
      <c r="P171" s="691"/>
      <c r="Q171" s="691"/>
      <c r="R171" s="691"/>
      <c r="S171" s="691"/>
      <c r="T171" s="691"/>
      <c r="U171" s="691"/>
      <c r="V171" s="691"/>
      <c r="W171" s="691"/>
      <c r="X171" s="691"/>
      <c r="Y171" s="691"/>
      <c r="Z171" s="691"/>
      <c r="AA171" s="691"/>
      <c r="AB171" s="691"/>
      <c r="AC171" s="691"/>
      <c r="AD171" s="691"/>
      <c r="AE171" s="691"/>
      <c r="AF171" s="691"/>
      <c r="AG171" s="691"/>
      <c r="AH171" s="691"/>
      <c r="AI171" s="691"/>
      <c r="AJ171" s="691"/>
      <c r="AK171" s="691"/>
      <c r="AL171" s="691"/>
      <c r="AM171" s="691"/>
      <c r="AN171" s="691"/>
      <c r="AO171" s="691"/>
      <c r="AP171" s="691"/>
      <c r="AQ171" s="691"/>
      <c r="AR171" s="691"/>
      <c r="AS171" s="691"/>
      <c r="AT171" s="691"/>
      <c r="AU171" s="691"/>
      <c r="AV171" s="691"/>
      <c r="AW171" s="691"/>
      <c r="AX171" s="691"/>
      <c r="AY171" s="691"/>
      <c r="AZ171" s="691"/>
      <c r="BA171" s="691"/>
      <c r="BB171" s="691"/>
      <c r="BC171" s="691"/>
      <c r="BD171" s="691"/>
      <c r="BE171" s="691"/>
      <c r="BF171" s="691"/>
      <c r="BG171" s="691"/>
      <c r="BH171" s="691"/>
      <c r="BI171" s="691"/>
      <c r="BJ171" s="691"/>
      <c r="BK171" s="691"/>
      <c r="BL171" s="691"/>
      <c r="BM171" s="691"/>
      <c r="BN171" s="691"/>
      <c r="BO171" s="691"/>
      <c r="BP171" s="691"/>
      <c r="BQ171" s="691"/>
      <c r="BR171" s="691"/>
      <c r="BS171" s="691"/>
      <c r="BT171" s="691"/>
      <c r="BU171" s="691"/>
      <c r="BV171" s="691"/>
      <c r="BW171" s="691"/>
      <c r="BX171" s="691"/>
      <c r="BY171" s="691"/>
      <c r="BZ171" s="691"/>
      <c r="CA171" s="691"/>
      <c r="CB171" s="691"/>
      <c r="CC171" s="691"/>
      <c r="CD171" s="691"/>
      <c r="CE171" s="691"/>
      <c r="CF171" s="691"/>
      <c r="CG171" s="691"/>
      <c r="CH171" s="691"/>
      <c r="CI171" s="691"/>
      <c r="CJ171" s="691"/>
      <c r="CK171" s="691"/>
      <c r="CL171" s="691"/>
      <c r="CM171" s="691"/>
      <c r="CN171" s="691"/>
      <c r="CO171" s="691"/>
      <c r="CP171" s="691"/>
      <c r="CQ171" s="691"/>
      <c r="CR171" s="691"/>
      <c r="CS171" s="691"/>
      <c r="CT171" s="691"/>
      <c r="CU171" s="691"/>
      <c r="CV171" s="691"/>
      <c r="CW171" s="691"/>
      <c r="CX171" s="691"/>
      <c r="CY171" s="691"/>
      <c r="CZ171" s="691"/>
      <c r="DA171" s="691"/>
      <c r="DB171" s="691"/>
      <c r="DC171" s="691"/>
      <c r="DD171" s="691"/>
      <c r="DE171" s="691"/>
      <c r="DF171" s="691"/>
      <c r="DG171" s="691"/>
      <c r="DH171" s="691"/>
      <c r="DI171" s="691"/>
      <c r="DJ171" s="691"/>
      <c r="DK171" s="691"/>
      <c r="DL171" s="691"/>
      <c r="DM171" s="691"/>
      <c r="DN171" s="691"/>
      <c r="DO171" s="691"/>
      <c r="DP171" s="691"/>
      <c r="DQ171" s="691"/>
      <c r="DR171" s="691"/>
      <c r="DS171" s="691"/>
      <c r="DT171" s="691"/>
      <c r="DU171" s="691"/>
      <c r="DV171" s="691"/>
      <c r="DW171" s="691"/>
      <c r="DX171" s="691"/>
      <c r="DY171" s="691"/>
      <c r="DZ171" s="691"/>
      <c r="EA171" s="691"/>
      <c r="EB171" s="691"/>
      <c r="EC171" s="691"/>
      <c r="ED171" s="691"/>
      <c r="EE171" s="691"/>
      <c r="EF171" s="691"/>
      <c r="EG171" s="691"/>
      <c r="EH171" s="691"/>
      <c r="EI171" s="691"/>
      <c r="EJ171" s="691"/>
      <c r="EK171" s="691"/>
      <c r="EL171" s="691"/>
      <c r="EM171" s="691"/>
      <c r="EN171" s="691"/>
      <c r="EO171" s="691"/>
      <c r="EP171" s="691"/>
      <c r="EQ171" s="691"/>
      <c r="ER171" s="691"/>
      <c r="ES171" s="691"/>
      <c r="ET171" s="691"/>
      <c r="EU171" s="691"/>
      <c r="EV171" s="691"/>
      <c r="EW171" s="691"/>
      <c r="EX171" s="691"/>
      <c r="EY171" s="691"/>
      <c r="EZ171" s="691"/>
      <c r="FA171" s="691"/>
      <c r="FB171" s="691"/>
      <c r="FC171" s="691"/>
      <c r="FD171" s="691"/>
      <c r="FE171" s="691"/>
      <c r="FF171" s="691"/>
      <c r="FG171" s="691"/>
      <c r="FH171" s="691"/>
      <c r="FI171" s="691"/>
      <c r="FJ171" s="691"/>
      <c r="FK171" s="691"/>
      <c r="FL171" s="691"/>
      <c r="FM171" s="691"/>
      <c r="FN171" s="691"/>
      <c r="FO171" s="691"/>
      <c r="FP171" s="691"/>
      <c r="FQ171" s="691"/>
      <c r="FR171" s="691"/>
      <c r="FS171" s="691"/>
      <c r="FT171" s="691"/>
      <c r="FU171" s="691"/>
      <c r="FV171" s="691"/>
      <c r="FW171" s="691"/>
      <c r="FX171" s="691"/>
      <c r="FY171" s="691"/>
      <c r="FZ171" s="691"/>
      <c r="GA171" s="691"/>
      <c r="GB171" s="691"/>
      <c r="GC171" s="691"/>
      <c r="GD171" s="691"/>
      <c r="GE171" s="691"/>
      <c r="GF171" s="691"/>
      <c r="GG171" s="691"/>
      <c r="GH171" s="691"/>
      <c r="GI171" s="691"/>
      <c r="GJ171" s="691"/>
      <c r="GK171" s="691"/>
      <c r="GL171" s="691"/>
      <c r="GM171" s="691"/>
      <c r="GN171" s="691"/>
      <c r="GO171" s="691"/>
      <c r="GP171" s="691"/>
      <c r="GQ171" s="691"/>
      <c r="GR171" s="691"/>
      <c r="GS171" s="691"/>
      <c r="GT171" s="691"/>
      <c r="GU171" s="691"/>
      <c r="GV171" s="691"/>
      <c r="GW171" s="691"/>
      <c r="GX171" s="691"/>
      <c r="GY171" s="691"/>
      <c r="GZ171" s="691"/>
      <c r="HA171" s="691"/>
      <c r="HB171" s="691"/>
      <c r="HC171" s="691"/>
      <c r="HD171" s="691"/>
      <c r="HE171" s="691"/>
      <c r="HF171" s="691"/>
      <c r="HG171" s="691"/>
      <c r="HH171" s="691"/>
      <c r="HI171" s="691"/>
      <c r="HJ171" s="691"/>
      <c r="HK171" s="691"/>
      <c r="HL171" s="691"/>
      <c r="HM171" s="691"/>
      <c r="HN171" s="691"/>
      <c r="HO171" s="691"/>
      <c r="HP171" s="691"/>
      <c r="HQ171" s="691"/>
      <c r="HR171" s="691"/>
      <c r="HS171" s="691"/>
      <c r="HT171" s="691"/>
      <c r="HU171" s="691"/>
      <c r="HV171" s="691"/>
      <c r="HW171" s="691"/>
      <c r="HX171" s="691"/>
      <c r="HY171" s="691"/>
      <c r="HZ171" s="691"/>
      <c r="IA171" s="691"/>
      <c r="IB171" s="691"/>
      <c r="IC171" s="691"/>
      <c r="ID171" s="691"/>
      <c r="IE171" s="691"/>
      <c r="IF171" s="691"/>
      <c r="IG171" s="691"/>
      <c r="IH171" s="691"/>
      <c r="II171" s="691"/>
      <c r="IJ171" s="691"/>
      <c r="IK171" s="691"/>
      <c r="IL171" s="691"/>
      <c r="IM171" s="691"/>
      <c r="IN171" s="691"/>
    </row>
    <row r="172" spans="2:248" s="692" customFormat="1" ht="15.75">
      <c r="B172" s="699">
        <v>4</v>
      </c>
      <c r="C172" s="24" t="s">
        <v>300</v>
      </c>
      <c r="D172" s="39">
        <v>22</v>
      </c>
      <c r="E172" s="24" t="s">
        <v>150</v>
      </c>
      <c r="F172" s="34" t="s">
        <v>301</v>
      </c>
      <c r="G172" s="96"/>
      <c r="H172" s="96"/>
      <c r="I172" s="96"/>
      <c r="J172" s="96"/>
      <c r="K172" s="97"/>
      <c r="L172" s="691"/>
      <c r="M172" s="691"/>
      <c r="N172" s="691"/>
      <c r="O172" s="691"/>
      <c r="P172" s="691"/>
      <c r="Q172" s="691"/>
      <c r="R172" s="691"/>
      <c r="S172" s="691"/>
      <c r="T172" s="691"/>
      <c r="U172" s="691"/>
      <c r="V172" s="691"/>
      <c r="W172" s="691"/>
      <c r="X172" s="691"/>
      <c r="Y172" s="691"/>
      <c r="Z172" s="691"/>
      <c r="AA172" s="691"/>
      <c r="AB172" s="691"/>
      <c r="AC172" s="691"/>
      <c r="AD172" s="691"/>
      <c r="AE172" s="691"/>
      <c r="AF172" s="691"/>
      <c r="AG172" s="691"/>
      <c r="AH172" s="691"/>
      <c r="AI172" s="691"/>
      <c r="AJ172" s="691"/>
      <c r="AK172" s="691"/>
      <c r="AL172" s="691"/>
      <c r="AM172" s="691"/>
      <c r="AN172" s="691"/>
      <c r="AO172" s="691"/>
      <c r="AP172" s="691"/>
      <c r="AQ172" s="691"/>
      <c r="AR172" s="691"/>
      <c r="AS172" s="691"/>
      <c r="AT172" s="691"/>
      <c r="AU172" s="691"/>
      <c r="AV172" s="691"/>
      <c r="AW172" s="691"/>
      <c r="AX172" s="691"/>
      <c r="AY172" s="691"/>
      <c r="AZ172" s="691"/>
      <c r="BA172" s="691"/>
      <c r="BB172" s="691"/>
      <c r="BC172" s="691"/>
      <c r="BD172" s="691"/>
      <c r="BE172" s="691"/>
      <c r="BF172" s="691"/>
      <c r="BG172" s="691"/>
      <c r="BH172" s="691"/>
      <c r="BI172" s="691"/>
      <c r="BJ172" s="691"/>
      <c r="BK172" s="691"/>
      <c r="BL172" s="691"/>
      <c r="BM172" s="691"/>
      <c r="BN172" s="691"/>
      <c r="BO172" s="691"/>
      <c r="BP172" s="691"/>
      <c r="BQ172" s="691"/>
      <c r="BR172" s="691"/>
      <c r="BS172" s="691"/>
      <c r="BT172" s="691"/>
      <c r="BU172" s="691"/>
      <c r="BV172" s="691"/>
      <c r="BW172" s="691"/>
      <c r="BX172" s="691"/>
      <c r="BY172" s="691"/>
      <c r="BZ172" s="691"/>
      <c r="CA172" s="691"/>
      <c r="CB172" s="691"/>
      <c r="CC172" s="691"/>
      <c r="CD172" s="691"/>
      <c r="CE172" s="691"/>
      <c r="CF172" s="691"/>
      <c r="CG172" s="691"/>
      <c r="CH172" s="691"/>
      <c r="CI172" s="691"/>
      <c r="CJ172" s="691"/>
      <c r="CK172" s="691"/>
      <c r="CL172" s="691"/>
      <c r="CM172" s="691"/>
      <c r="CN172" s="691"/>
      <c r="CO172" s="691"/>
      <c r="CP172" s="691"/>
      <c r="CQ172" s="691"/>
      <c r="CR172" s="691"/>
      <c r="CS172" s="691"/>
      <c r="CT172" s="691"/>
      <c r="CU172" s="691"/>
      <c r="CV172" s="691"/>
      <c r="CW172" s="691"/>
      <c r="CX172" s="691"/>
      <c r="CY172" s="691"/>
      <c r="CZ172" s="691"/>
      <c r="DA172" s="691"/>
      <c r="DB172" s="691"/>
      <c r="DC172" s="691"/>
      <c r="DD172" s="691"/>
      <c r="DE172" s="691"/>
      <c r="DF172" s="691"/>
      <c r="DG172" s="691"/>
      <c r="DH172" s="691"/>
      <c r="DI172" s="691"/>
      <c r="DJ172" s="691"/>
      <c r="DK172" s="691"/>
      <c r="DL172" s="691"/>
      <c r="DM172" s="691"/>
      <c r="DN172" s="691"/>
      <c r="DO172" s="691"/>
      <c r="DP172" s="691"/>
      <c r="DQ172" s="691"/>
      <c r="DR172" s="691"/>
      <c r="DS172" s="691"/>
      <c r="DT172" s="691"/>
      <c r="DU172" s="691"/>
      <c r="DV172" s="691"/>
      <c r="DW172" s="691"/>
      <c r="DX172" s="691"/>
      <c r="DY172" s="691"/>
      <c r="DZ172" s="691"/>
      <c r="EA172" s="691"/>
      <c r="EB172" s="691"/>
      <c r="EC172" s="691"/>
      <c r="ED172" s="691"/>
      <c r="EE172" s="691"/>
      <c r="EF172" s="691"/>
      <c r="EG172" s="691"/>
      <c r="EH172" s="691"/>
      <c r="EI172" s="691"/>
      <c r="EJ172" s="691"/>
      <c r="EK172" s="691"/>
      <c r="EL172" s="691"/>
      <c r="EM172" s="691"/>
      <c r="EN172" s="691"/>
      <c r="EO172" s="691"/>
      <c r="EP172" s="691"/>
      <c r="EQ172" s="691"/>
      <c r="ER172" s="691"/>
      <c r="ES172" s="691"/>
      <c r="ET172" s="691"/>
      <c r="EU172" s="691"/>
      <c r="EV172" s="691"/>
      <c r="EW172" s="691"/>
      <c r="EX172" s="691"/>
      <c r="EY172" s="691"/>
      <c r="EZ172" s="691"/>
      <c r="FA172" s="691"/>
      <c r="FB172" s="691"/>
      <c r="FC172" s="691"/>
      <c r="FD172" s="691"/>
      <c r="FE172" s="691"/>
      <c r="FF172" s="691"/>
      <c r="FG172" s="691"/>
      <c r="FH172" s="691"/>
      <c r="FI172" s="691"/>
      <c r="FJ172" s="691"/>
      <c r="FK172" s="691"/>
      <c r="FL172" s="691"/>
      <c r="FM172" s="691"/>
      <c r="FN172" s="691"/>
      <c r="FO172" s="691"/>
      <c r="FP172" s="691"/>
      <c r="FQ172" s="691"/>
      <c r="FR172" s="691"/>
      <c r="FS172" s="691"/>
      <c r="FT172" s="691"/>
      <c r="FU172" s="691"/>
      <c r="FV172" s="691"/>
      <c r="FW172" s="691"/>
      <c r="FX172" s="691"/>
      <c r="FY172" s="691"/>
      <c r="FZ172" s="691"/>
      <c r="GA172" s="691"/>
      <c r="GB172" s="691"/>
      <c r="GC172" s="691"/>
      <c r="GD172" s="691"/>
      <c r="GE172" s="691"/>
      <c r="GF172" s="691"/>
      <c r="GG172" s="691"/>
      <c r="GH172" s="691"/>
      <c r="GI172" s="691"/>
      <c r="GJ172" s="691"/>
      <c r="GK172" s="691"/>
      <c r="GL172" s="691"/>
      <c r="GM172" s="691"/>
      <c r="GN172" s="691"/>
      <c r="GO172" s="691"/>
      <c r="GP172" s="691"/>
      <c r="GQ172" s="691"/>
      <c r="GR172" s="691"/>
      <c r="GS172" s="691"/>
      <c r="GT172" s="691"/>
      <c r="GU172" s="691"/>
      <c r="GV172" s="691"/>
      <c r="GW172" s="691"/>
      <c r="GX172" s="691"/>
      <c r="GY172" s="691"/>
      <c r="GZ172" s="691"/>
      <c r="HA172" s="691"/>
      <c r="HB172" s="691"/>
      <c r="HC172" s="691"/>
      <c r="HD172" s="691"/>
      <c r="HE172" s="691"/>
      <c r="HF172" s="691"/>
      <c r="HG172" s="691"/>
      <c r="HH172" s="691"/>
      <c r="HI172" s="691"/>
      <c r="HJ172" s="691"/>
      <c r="HK172" s="691"/>
      <c r="HL172" s="691"/>
      <c r="HM172" s="691"/>
      <c r="HN172" s="691"/>
      <c r="HO172" s="691"/>
      <c r="HP172" s="691"/>
      <c r="HQ172" s="691"/>
      <c r="HR172" s="691"/>
      <c r="HS172" s="691"/>
      <c r="HT172" s="691"/>
      <c r="HU172" s="691"/>
      <c r="HV172" s="691"/>
      <c r="HW172" s="691"/>
      <c r="HX172" s="691"/>
      <c r="HY172" s="691"/>
      <c r="HZ172" s="691"/>
      <c r="IA172" s="691"/>
      <c r="IB172" s="691"/>
      <c r="IC172" s="691"/>
      <c r="ID172" s="691"/>
      <c r="IE172" s="691"/>
      <c r="IF172" s="691"/>
      <c r="IG172" s="691"/>
      <c r="IH172" s="691"/>
      <c r="II172" s="691"/>
      <c r="IJ172" s="691"/>
      <c r="IK172" s="691"/>
      <c r="IL172" s="691"/>
      <c r="IM172" s="691"/>
      <c r="IN172" s="691"/>
    </row>
    <row r="173" spans="2:248" s="692" customFormat="1" ht="15.75">
      <c r="B173" s="699">
        <v>5</v>
      </c>
      <c r="C173" s="24" t="s">
        <v>302</v>
      </c>
      <c r="D173" s="40">
        <v>0.5</v>
      </c>
      <c r="E173" s="24"/>
      <c r="F173" s="34"/>
      <c r="G173" s="96"/>
      <c r="H173" s="96"/>
      <c r="I173" s="96"/>
      <c r="J173" s="96"/>
      <c r="K173" s="97"/>
      <c r="L173" s="691"/>
      <c r="M173" s="691"/>
      <c r="N173" s="691"/>
      <c r="O173" s="691"/>
      <c r="P173" s="691"/>
      <c r="Q173" s="691"/>
      <c r="R173" s="691"/>
      <c r="S173" s="691"/>
      <c r="T173" s="691"/>
      <c r="U173" s="691"/>
      <c r="V173" s="691"/>
      <c r="W173" s="691"/>
      <c r="X173" s="691"/>
      <c r="Y173" s="691"/>
      <c r="Z173" s="691"/>
      <c r="AA173" s="691"/>
      <c r="AB173" s="691"/>
      <c r="AC173" s="691"/>
      <c r="AD173" s="691"/>
      <c r="AE173" s="691"/>
      <c r="AF173" s="691"/>
      <c r="AG173" s="691"/>
      <c r="AH173" s="691"/>
      <c r="AI173" s="691"/>
      <c r="AJ173" s="691"/>
      <c r="AK173" s="691"/>
      <c r="AL173" s="691"/>
      <c r="AM173" s="691"/>
      <c r="AN173" s="691"/>
      <c r="AO173" s="691"/>
      <c r="AP173" s="691"/>
      <c r="AQ173" s="691"/>
      <c r="AR173" s="691"/>
      <c r="AS173" s="691"/>
      <c r="AT173" s="691"/>
      <c r="AU173" s="691"/>
      <c r="AV173" s="691"/>
      <c r="AW173" s="691"/>
      <c r="AX173" s="691"/>
      <c r="AY173" s="691"/>
      <c r="AZ173" s="691"/>
      <c r="BA173" s="691"/>
      <c r="BB173" s="691"/>
      <c r="BC173" s="691"/>
      <c r="BD173" s="691"/>
      <c r="BE173" s="691"/>
      <c r="BF173" s="691"/>
      <c r="BG173" s="691"/>
      <c r="BH173" s="691"/>
      <c r="BI173" s="691"/>
      <c r="BJ173" s="691"/>
      <c r="BK173" s="691"/>
      <c r="BL173" s="691"/>
      <c r="BM173" s="691"/>
      <c r="BN173" s="691"/>
      <c r="BO173" s="691"/>
      <c r="BP173" s="691"/>
      <c r="BQ173" s="691"/>
      <c r="BR173" s="691"/>
      <c r="BS173" s="691"/>
      <c r="BT173" s="691"/>
      <c r="BU173" s="691"/>
      <c r="BV173" s="691"/>
      <c r="BW173" s="691"/>
      <c r="BX173" s="691"/>
      <c r="BY173" s="691"/>
      <c r="BZ173" s="691"/>
      <c r="CA173" s="691"/>
      <c r="CB173" s="691"/>
      <c r="CC173" s="691"/>
      <c r="CD173" s="691"/>
      <c r="CE173" s="691"/>
      <c r="CF173" s="691"/>
      <c r="CG173" s="691"/>
      <c r="CH173" s="691"/>
      <c r="CI173" s="691"/>
      <c r="CJ173" s="691"/>
      <c r="CK173" s="691"/>
      <c r="CL173" s="691"/>
      <c r="CM173" s="691"/>
      <c r="CN173" s="691"/>
      <c r="CO173" s="691"/>
      <c r="CP173" s="691"/>
      <c r="CQ173" s="691"/>
      <c r="CR173" s="691"/>
      <c r="CS173" s="691"/>
      <c r="CT173" s="691"/>
      <c r="CU173" s="691"/>
      <c r="CV173" s="691"/>
      <c r="CW173" s="691"/>
      <c r="CX173" s="691"/>
      <c r="CY173" s="691"/>
      <c r="CZ173" s="691"/>
      <c r="DA173" s="691"/>
      <c r="DB173" s="691"/>
      <c r="DC173" s="691"/>
      <c r="DD173" s="691"/>
      <c r="DE173" s="691"/>
      <c r="DF173" s="691"/>
      <c r="DG173" s="691"/>
      <c r="DH173" s="691"/>
      <c r="DI173" s="691"/>
      <c r="DJ173" s="691"/>
      <c r="DK173" s="691"/>
      <c r="DL173" s="691"/>
      <c r="DM173" s="691"/>
      <c r="DN173" s="691"/>
      <c r="DO173" s="691"/>
      <c r="DP173" s="691"/>
      <c r="DQ173" s="691"/>
      <c r="DR173" s="691"/>
      <c r="DS173" s="691"/>
      <c r="DT173" s="691"/>
      <c r="DU173" s="691"/>
      <c r="DV173" s="691"/>
      <c r="DW173" s="691"/>
      <c r="DX173" s="691"/>
      <c r="DY173" s="691"/>
      <c r="DZ173" s="691"/>
      <c r="EA173" s="691"/>
      <c r="EB173" s="691"/>
      <c r="EC173" s="691"/>
      <c r="ED173" s="691"/>
      <c r="EE173" s="691"/>
      <c r="EF173" s="691"/>
      <c r="EG173" s="691"/>
      <c r="EH173" s="691"/>
      <c r="EI173" s="691"/>
      <c r="EJ173" s="691"/>
      <c r="EK173" s="691"/>
      <c r="EL173" s="691"/>
      <c r="EM173" s="691"/>
      <c r="EN173" s="691"/>
      <c r="EO173" s="691"/>
      <c r="EP173" s="691"/>
      <c r="EQ173" s="691"/>
      <c r="ER173" s="691"/>
      <c r="ES173" s="691"/>
      <c r="ET173" s="691"/>
      <c r="EU173" s="691"/>
      <c r="EV173" s="691"/>
      <c r="EW173" s="691"/>
      <c r="EX173" s="691"/>
      <c r="EY173" s="691"/>
      <c r="EZ173" s="691"/>
      <c r="FA173" s="691"/>
      <c r="FB173" s="691"/>
      <c r="FC173" s="691"/>
      <c r="FD173" s="691"/>
      <c r="FE173" s="691"/>
      <c r="FF173" s="691"/>
      <c r="FG173" s="691"/>
      <c r="FH173" s="691"/>
      <c r="FI173" s="691"/>
      <c r="FJ173" s="691"/>
      <c r="FK173" s="691"/>
      <c r="FL173" s="691"/>
      <c r="FM173" s="691"/>
      <c r="FN173" s="691"/>
      <c r="FO173" s="691"/>
      <c r="FP173" s="691"/>
      <c r="FQ173" s="691"/>
      <c r="FR173" s="691"/>
      <c r="FS173" s="691"/>
      <c r="FT173" s="691"/>
      <c r="FU173" s="691"/>
      <c r="FV173" s="691"/>
      <c r="FW173" s="691"/>
      <c r="FX173" s="691"/>
      <c r="FY173" s="691"/>
      <c r="FZ173" s="691"/>
      <c r="GA173" s="691"/>
      <c r="GB173" s="691"/>
      <c r="GC173" s="691"/>
      <c r="GD173" s="691"/>
      <c r="GE173" s="691"/>
      <c r="GF173" s="691"/>
      <c r="GG173" s="691"/>
      <c r="GH173" s="691"/>
      <c r="GI173" s="691"/>
      <c r="GJ173" s="691"/>
      <c r="GK173" s="691"/>
      <c r="GL173" s="691"/>
      <c r="GM173" s="691"/>
      <c r="GN173" s="691"/>
      <c r="GO173" s="691"/>
      <c r="GP173" s="691"/>
      <c r="GQ173" s="691"/>
      <c r="GR173" s="691"/>
      <c r="GS173" s="691"/>
      <c r="GT173" s="691"/>
      <c r="GU173" s="691"/>
      <c r="GV173" s="691"/>
      <c r="GW173" s="691"/>
      <c r="GX173" s="691"/>
      <c r="GY173" s="691"/>
      <c r="GZ173" s="691"/>
      <c r="HA173" s="691"/>
      <c r="HB173" s="691"/>
      <c r="HC173" s="691"/>
      <c r="HD173" s="691"/>
      <c r="HE173" s="691"/>
      <c r="HF173" s="691"/>
      <c r="HG173" s="691"/>
      <c r="HH173" s="691"/>
      <c r="HI173" s="691"/>
      <c r="HJ173" s="691"/>
      <c r="HK173" s="691"/>
      <c r="HL173" s="691"/>
      <c r="HM173" s="691"/>
      <c r="HN173" s="691"/>
      <c r="HO173" s="691"/>
      <c r="HP173" s="691"/>
      <c r="HQ173" s="691"/>
      <c r="HR173" s="691"/>
      <c r="HS173" s="691"/>
      <c r="HT173" s="691"/>
      <c r="HU173" s="691"/>
      <c r="HV173" s="691"/>
      <c r="HW173" s="691"/>
      <c r="HX173" s="691"/>
      <c r="HY173" s="691"/>
      <c r="HZ173" s="691"/>
      <c r="IA173" s="691"/>
      <c r="IB173" s="691"/>
      <c r="IC173" s="691"/>
      <c r="ID173" s="691"/>
      <c r="IE173" s="691"/>
      <c r="IF173" s="691"/>
      <c r="IG173" s="691"/>
      <c r="IH173" s="691"/>
      <c r="II173" s="691"/>
      <c r="IJ173" s="691"/>
      <c r="IK173" s="691"/>
      <c r="IL173" s="691"/>
      <c r="IM173" s="691"/>
      <c r="IN173" s="691"/>
    </row>
    <row r="174" spans="2:248" s="692" customFormat="1" ht="15.75">
      <c r="B174" s="699">
        <v>6</v>
      </c>
      <c r="C174" s="24" t="s">
        <v>303</v>
      </c>
      <c r="D174" s="40">
        <v>0.96</v>
      </c>
      <c r="E174" s="24" t="s">
        <v>304</v>
      </c>
      <c r="F174" s="34"/>
      <c r="G174" s="96"/>
      <c r="H174" s="96"/>
      <c r="I174" s="96"/>
      <c r="J174" s="96"/>
      <c r="K174" s="97"/>
      <c r="L174" s="691"/>
      <c r="M174" s="691"/>
      <c r="N174" s="691"/>
      <c r="O174" s="691"/>
      <c r="P174" s="691"/>
      <c r="Q174" s="691"/>
      <c r="R174" s="691"/>
      <c r="S174" s="691"/>
      <c r="T174" s="691"/>
      <c r="U174" s="691"/>
      <c r="V174" s="691"/>
      <c r="W174" s="691"/>
      <c r="X174" s="691"/>
      <c r="Y174" s="691"/>
      <c r="Z174" s="691"/>
      <c r="AA174" s="691"/>
      <c r="AB174" s="691"/>
      <c r="AC174" s="691"/>
      <c r="AD174" s="691"/>
      <c r="AE174" s="691"/>
      <c r="AF174" s="691"/>
      <c r="AG174" s="691"/>
      <c r="AH174" s="691"/>
      <c r="AI174" s="691"/>
      <c r="AJ174" s="691"/>
      <c r="AK174" s="691"/>
      <c r="AL174" s="691"/>
      <c r="AM174" s="691"/>
      <c r="AN174" s="691"/>
      <c r="AO174" s="691"/>
      <c r="AP174" s="691"/>
      <c r="AQ174" s="691"/>
      <c r="AR174" s="691"/>
      <c r="AS174" s="691"/>
      <c r="AT174" s="691"/>
      <c r="AU174" s="691"/>
      <c r="AV174" s="691"/>
      <c r="AW174" s="691"/>
      <c r="AX174" s="691"/>
      <c r="AY174" s="691"/>
      <c r="AZ174" s="691"/>
      <c r="BA174" s="691"/>
      <c r="BB174" s="691"/>
      <c r="BC174" s="691"/>
      <c r="BD174" s="691"/>
      <c r="BE174" s="691"/>
      <c r="BF174" s="691"/>
      <c r="BG174" s="691"/>
      <c r="BH174" s="691"/>
      <c r="BI174" s="691"/>
      <c r="BJ174" s="691"/>
      <c r="BK174" s="691"/>
      <c r="BL174" s="691"/>
      <c r="BM174" s="691"/>
      <c r="BN174" s="691"/>
      <c r="BO174" s="691"/>
      <c r="BP174" s="691"/>
      <c r="BQ174" s="691"/>
      <c r="BR174" s="691"/>
      <c r="BS174" s="691"/>
      <c r="BT174" s="691"/>
      <c r="BU174" s="691"/>
      <c r="BV174" s="691"/>
      <c r="BW174" s="691"/>
      <c r="BX174" s="691"/>
      <c r="BY174" s="691"/>
      <c r="BZ174" s="691"/>
      <c r="CA174" s="691"/>
      <c r="CB174" s="691"/>
      <c r="CC174" s="691"/>
      <c r="CD174" s="691"/>
      <c r="CE174" s="691"/>
      <c r="CF174" s="691"/>
      <c r="CG174" s="691"/>
      <c r="CH174" s="691"/>
      <c r="CI174" s="691"/>
      <c r="CJ174" s="691"/>
      <c r="CK174" s="691"/>
      <c r="CL174" s="691"/>
      <c r="CM174" s="691"/>
      <c r="CN174" s="691"/>
      <c r="CO174" s="691"/>
      <c r="CP174" s="691"/>
      <c r="CQ174" s="691"/>
      <c r="CR174" s="691"/>
      <c r="CS174" s="691"/>
      <c r="CT174" s="691"/>
      <c r="CU174" s="691"/>
      <c r="CV174" s="691"/>
      <c r="CW174" s="691"/>
      <c r="CX174" s="691"/>
      <c r="CY174" s="691"/>
      <c r="CZ174" s="691"/>
      <c r="DA174" s="691"/>
      <c r="DB174" s="691"/>
      <c r="DC174" s="691"/>
      <c r="DD174" s="691"/>
      <c r="DE174" s="691"/>
      <c r="DF174" s="691"/>
      <c r="DG174" s="691"/>
      <c r="DH174" s="691"/>
      <c r="DI174" s="691"/>
      <c r="DJ174" s="691"/>
      <c r="DK174" s="691"/>
      <c r="DL174" s="691"/>
      <c r="DM174" s="691"/>
      <c r="DN174" s="691"/>
      <c r="DO174" s="691"/>
      <c r="DP174" s="691"/>
      <c r="DQ174" s="691"/>
      <c r="DR174" s="691"/>
      <c r="DS174" s="691"/>
      <c r="DT174" s="691"/>
      <c r="DU174" s="691"/>
      <c r="DV174" s="691"/>
      <c r="DW174" s="691"/>
      <c r="DX174" s="691"/>
      <c r="DY174" s="691"/>
      <c r="DZ174" s="691"/>
      <c r="EA174" s="691"/>
      <c r="EB174" s="691"/>
      <c r="EC174" s="691"/>
      <c r="ED174" s="691"/>
      <c r="EE174" s="691"/>
      <c r="EF174" s="691"/>
      <c r="EG174" s="691"/>
      <c r="EH174" s="691"/>
      <c r="EI174" s="691"/>
      <c r="EJ174" s="691"/>
      <c r="EK174" s="691"/>
      <c r="EL174" s="691"/>
      <c r="EM174" s="691"/>
      <c r="EN174" s="691"/>
      <c r="EO174" s="691"/>
      <c r="EP174" s="691"/>
      <c r="EQ174" s="691"/>
      <c r="ER174" s="691"/>
      <c r="ES174" s="691"/>
      <c r="ET174" s="691"/>
      <c r="EU174" s="691"/>
      <c r="EV174" s="691"/>
      <c r="EW174" s="691"/>
      <c r="EX174" s="691"/>
      <c r="EY174" s="691"/>
      <c r="EZ174" s="691"/>
      <c r="FA174" s="691"/>
      <c r="FB174" s="691"/>
      <c r="FC174" s="691"/>
      <c r="FD174" s="691"/>
      <c r="FE174" s="691"/>
      <c r="FF174" s="691"/>
      <c r="FG174" s="691"/>
      <c r="FH174" s="691"/>
      <c r="FI174" s="691"/>
      <c r="FJ174" s="691"/>
      <c r="FK174" s="691"/>
      <c r="FL174" s="691"/>
      <c r="FM174" s="691"/>
      <c r="FN174" s="691"/>
      <c r="FO174" s="691"/>
      <c r="FP174" s="691"/>
      <c r="FQ174" s="691"/>
      <c r="FR174" s="691"/>
      <c r="FS174" s="691"/>
      <c r="FT174" s="691"/>
      <c r="FU174" s="691"/>
      <c r="FV174" s="691"/>
      <c r="FW174" s="691"/>
      <c r="FX174" s="691"/>
      <c r="FY174" s="691"/>
      <c r="FZ174" s="691"/>
      <c r="GA174" s="691"/>
      <c r="GB174" s="691"/>
      <c r="GC174" s="691"/>
      <c r="GD174" s="691"/>
      <c r="GE174" s="691"/>
      <c r="GF174" s="691"/>
      <c r="GG174" s="691"/>
      <c r="GH174" s="691"/>
      <c r="GI174" s="691"/>
      <c r="GJ174" s="691"/>
      <c r="GK174" s="691"/>
      <c r="GL174" s="691"/>
      <c r="GM174" s="691"/>
      <c r="GN174" s="691"/>
      <c r="GO174" s="691"/>
      <c r="GP174" s="691"/>
      <c r="GQ174" s="691"/>
      <c r="GR174" s="691"/>
      <c r="GS174" s="691"/>
      <c r="GT174" s="691"/>
      <c r="GU174" s="691"/>
      <c r="GV174" s="691"/>
      <c r="GW174" s="691"/>
      <c r="GX174" s="691"/>
      <c r="GY174" s="691"/>
      <c r="GZ174" s="691"/>
      <c r="HA174" s="691"/>
      <c r="HB174" s="691"/>
      <c r="HC174" s="691"/>
      <c r="HD174" s="691"/>
      <c r="HE174" s="691"/>
      <c r="HF174" s="691"/>
      <c r="HG174" s="691"/>
      <c r="HH174" s="691"/>
      <c r="HI174" s="691"/>
      <c r="HJ174" s="691"/>
      <c r="HK174" s="691"/>
      <c r="HL174" s="691"/>
      <c r="HM174" s="691"/>
      <c r="HN174" s="691"/>
      <c r="HO174" s="691"/>
      <c r="HP174" s="691"/>
      <c r="HQ174" s="691"/>
      <c r="HR174" s="691"/>
      <c r="HS174" s="691"/>
      <c r="HT174" s="691"/>
      <c r="HU174" s="691"/>
      <c r="HV174" s="691"/>
      <c r="HW174" s="691"/>
      <c r="HX174" s="691"/>
      <c r="HY174" s="691"/>
      <c r="HZ174" s="691"/>
      <c r="IA174" s="691"/>
      <c r="IB174" s="691"/>
      <c r="IC174" s="691"/>
      <c r="ID174" s="691"/>
      <c r="IE174" s="691"/>
      <c r="IF174" s="691"/>
      <c r="IG174" s="691"/>
      <c r="IH174" s="691"/>
      <c r="II174" s="691"/>
      <c r="IJ174" s="691"/>
      <c r="IK174" s="691"/>
      <c r="IL174" s="691"/>
      <c r="IM174" s="691"/>
      <c r="IN174" s="691"/>
    </row>
    <row r="175" spans="2:248" s="704" customFormat="1" ht="15"/>
    <row r="176" spans="2:248" s="718" customFormat="1" ht="15.75">
      <c r="B176" s="699">
        <v>1</v>
      </c>
      <c r="C176" s="38" t="s">
        <v>18</v>
      </c>
      <c r="D176" s="38"/>
      <c r="E176" s="38"/>
      <c r="F176" s="38"/>
      <c r="G176" s="38"/>
      <c r="H176" s="38"/>
      <c r="I176" s="704"/>
      <c r="J176" s="704"/>
      <c r="K176" s="704"/>
      <c r="L176" s="704"/>
      <c r="M176" s="704"/>
      <c r="N176" s="704"/>
      <c r="O176" s="704"/>
      <c r="P176" s="704"/>
      <c r="Q176" s="704"/>
      <c r="R176" s="704"/>
      <c r="S176" s="704"/>
      <c r="T176" s="704"/>
      <c r="V176" s="691"/>
      <c r="W176" s="691"/>
      <c r="X176" s="691"/>
      <c r="Y176" s="691"/>
    </row>
    <row r="177" spans="2:25" s="718" customFormat="1" ht="25.5">
      <c r="B177" s="699">
        <v>2</v>
      </c>
      <c r="C177" s="700"/>
      <c r="D177" s="709"/>
      <c r="E177" s="719"/>
      <c r="F177" s="720"/>
      <c r="G177" s="700" t="s">
        <v>2195</v>
      </c>
      <c r="H177" s="700" t="s">
        <v>2196</v>
      </c>
      <c r="I177" s="704"/>
      <c r="J177" s="704"/>
      <c r="K177" s="704"/>
      <c r="L177" s="704"/>
      <c r="M177" s="704"/>
      <c r="N177" s="704"/>
      <c r="O177" s="704"/>
      <c r="P177" s="704"/>
      <c r="Q177" s="704"/>
      <c r="R177" s="704"/>
      <c r="S177" s="704"/>
      <c r="T177" s="704"/>
      <c r="V177" s="691"/>
      <c r="W177" s="691"/>
      <c r="X177" s="691"/>
      <c r="Y177" s="691"/>
    </row>
    <row r="178" spans="2:25" s="718" customFormat="1" ht="15">
      <c r="B178" s="699">
        <v>3</v>
      </c>
      <c r="C178" s="700"/>
      <c r="D178" s="709"/>
      <c r="E178" s="719"/>
      <c r="F178" s="720"/>
      <c r="G178" s="700" t="s">
        <v>2197</v>
      </c>
      <c r="H178" s="700" t="s">
        <v>82</v>
      </c>
      <c r="I178" s="704"/>
      <c r="J178" s="704"/>
      <c r="K178" s="704"/>
      <c r="L178" s="704"/>
      <c r="M178" s="704"/>
      <c r="N178" s="704"/>
      <c r="O178" s="704"/>
      <c r="P178" s="704"/>
      <c r="Q178" s="704"/>
      <c r="R178" s="704"/>
      <c r="S178" s="704"/>
      <c r="T178" s="704"/>
      <c r="V178" s="691"/>
      <c r="W178" s="691"/>
      <c r="X178" s="691"/>
      <c r="Y178" s="691"/>
    </row>
    <row r="179" spans="2:25" s="718" customFormat="1" ht="15.75">
      <c r="B179" s="699">
        <v>4</v>
      </c>
      <c r="C179" s="48" t="s">
        <v>216</v>
      </c>
      <c r="D179" s="151" t="s">
        <v>228</v>
      </c>
      <c r="E179" s="152"/>
      <c r="F179" s="153"/>
      <c r="G179" s="40">
        <v>2.5</v>
      </c>
      <c r="H179" s="49">
        <v>50</v>
      </c>
      <c r="I179" s="704"/>
      <c r="J179" s="704"/>
      <c r="K179" s="704"/>
      <c r="L179" s="704"/>
      <c r="M179" s="704"/>
      <c r="N179" s="704"/>
      <c r="O179" s="704"/>
      <c r="P179" s="704"/>
      <c r="Q179" s="704"/>
      <c r="R179" s="704"/>
      <c r="S179" s="704"/>
      <c r="T179" s="704"/>
      <c r="V179" s="691"/>
      <c r="W179" s="691"/>
      <c r="X179" s="691"/>
      <c r="Y179" s="691"/>
    </row>
    <row r="180" spans="2:25" s="718" customFormat="1" ht="15.75">
      <c r="B180" s="699">
        <v>5</v>
      </c>
      <c r="C180" s="48" t="s">
        <v>217</v>
      </c>
      <c r="D180" s="151" t="s">
        <v>228</v>
      </c>
      <c r="E180" s="152"/>
      <c r="F180" s="153"/>
      <c r="G180" s="40">
        <v>10</v>
      </c>
      <c r="H180" s="40">
        <v>50</v>
      </c>
      <c r="I180" s="704"/>
      <c r="J180" s="704"/>
      <c r="K180" s="704"/>
      <c r="L180" s="704"/>
      <c r="M180" s="704"/>
      <c r="N180" s="704"/>
      <c r="O180" s="704"/>
      <c r="P180" s="704"/>
      <c r="Q180" s="704"/>
      <c r="R180" s="704"/>
      <c r="S180" s="704"/>
      <c r="T180" s="704"/>
      <c r="V180" s="691"/>
      <c r="W180" s="691"/>
      <c r="X180" s="691"/>
      <c r="Y180" s="691"/>
    </row>
    <row r="181" spans="2:25" s="718" customFormat="1" ht="15.75">
      <c r="B181" s="699">
        <v>6</v>
      </c>
      <c r="C181" s="48" t="s">
        <v>218</v>
      </c>
      <c r="D181" s="151" t="s">
        <v>229</v>
      </c>
      <c r="E181" s="152"/>
      <c r="F181" s="153"/>
      <c r="G181" s="40">
        <v>2.5</v>
      </c>
      <c r="H181" s="40">
        <v>50</v>
      </c>
      <c r="I181" s="704"/>
      <c r="J181" s="704"/>
      <c r="K181" s="704"/>
      <c r="L181" s="704"/>
      <c r="M181" s="704"/>
      <c r="N181" s="704"/>
      <c r="O181" s="704"/>
      <c r="P181" s="704"/>
      <c r="Q181" s="704"/>
      <c r="R181" s="704"/>
      <c r="S181" s="704"/>
      <c r="T181" s="704"/>
      <c r="V181" s="691"/>
      <c r="W181" s="691"/>
      <c r="X181" s="691"/>
      <c r="Y181" s="691"/>
    </row>
    <row r="182" spans="2:25" s="718" customFormat="1" ht="15.75">
      <c r="B182" s="699">
        <v>7</v>
      </c>
      <c r="C182" s="48" t="s">
        <v>219</v>
      </c>
      <c r="D182" s="151" t="s">
        <v>229</v>
      </c>
      <c r="E182" s="152"/>
      <c r="F182" s="153"/>
      <c r="G182" s="40">
        <v>10</v>
      </c>
      <c r="H182" s="40">
        <v>50</v>
      </c>
      <c r="I182" s="704"/>
      <c r="J182" s="704"/>
      <c r="K182" s="704"/>
      <c r="L182" s="704"/>
      <c r="M182" s="704"/>
      <c r="N182" s="704"/>
      <c r="O182" s="704"/>
      <c r="P182" s="704"/>
      <c r="Q182" s="704"/>
      <c r="R182" s="704"/>
      <c r="S182" s="704"/>
      <c r="T182" s="704"/>
      <c r="V182" s="691"/>
      <c r="W182" s="691"/>
      <c r="X182" s="691"/>
      <c r="Y182" s="691"/>
    </row>
    <row r="183" spans="2:25" s="718" customFormat="1" ht="15.75">
      <c r="B183" s="699">
        <v>8</v>
      </c>
      <c r="C183" s="48" t="s">
        <v>220</v>
      </c>
      <c r="D183" s="151" t="s">
        <v>220</v>
      </c>
      <c r="E183" s="152"/>
      <c r="F183" s="153"/>
      <c r="G183" s="40">
        <v>2</v>
      </c>
      <c r="H183" s="40">
        <v>100</v>
      </c>
      <c r="I183" s="704"/>
      <c r="J183" s="704"/>
      <c r="K183" s="704"/>
      <c r="L183" s="704"/>
      <c r="M183" s="704"/>
      <c r="N183" s="704"/>
      <c r="O183" s="704"/>
      <c r="P183" s="704"/>
      <c r="Q183" s="704"/>
      <c r="R183" s="704"/>
      <c r="S183" s="704"/>
      <c r="T183" s="704"/>
      <c r="V183" s="691"/>
      <c r="W183" s="691"/>
      <c r="X183" s="691"/>
      <c r="Y183" s="691"/>
    </row>
    <row r="184" spans="2:25" s="718" customFormat="1" ht="15.75">
      <c r="B184" s="699">
        <v>9</v>
      </c>
      <c r="C184" s="48" t="s">
        <v>221</v>
      </c>
      <c r="D184" s="151" t="s">
        <v>221</v>
      </c>
      <c r="E184" s="152"/>
      <c r="F184" s="153"/>
      <c r="G184" s="40">
        <v>50</v>
      </c>
      <c r="H184" s="40">
        <v>25</v>
      </c>
      <c r="I184" s="704"/>
      <c r="J184" s="704"/>
      <c r="K184" s="704"/>
      <c r="L184" s="704"/>
      <c r="M184" s="704"/>
      <c r="N184" s="704"/>
      <c r="O184" s="704"/>
      <c r="P184" s="704"/>
      <c r="Q184" s="704"/>
      <c r="R184" s="704"/>
      <c r="S184" s="704"/>
      <c r="T184" s="704"/>
      <c r="V184" s="691"/>
      <c r="W184" s="691"/>
      <c r="X184" s="691"/>
      <c r="Y184" s="691"/>
    </row>
    <row r="185" spans="2:25" s="718" customFormat="1" ht="15.75">
      <c r="B185" s="699">
        <v>10</v>
      </c>
      <c r="C185" s="48" t="s">
        <v>222</v>
      </c>
      <c r="D185" s="151" t="s">
        <v>222</v>
      </c>
      <c r="E185" s="152"/>
      <c r="F185" s="153"/>
      <c r="G185" s="40">
        <v>5</v>
      </c>
      <c r="H185" s="40">
        <v>50</v>
      </c>
      <c r="I185" s="704"/>
      <c r="J185" s="704"/>
      <c r="K185" s="704"/>
      <c r="L185" s="704"/>
      <c r="M185" s="704"/>
      <c r="N185" s="704"/>
      <c r="O185" s="704"/>
      <c r="P185" s="704"/>
      <c r="Q185" s="704"/>
      <c r="R185" s="704"/>
      <c r="S185" s="704"/>
      <c r="T185" s="704"/>
      <c r="V185" s="691"/>
      <c r="W185" s="691"/>
      <c r="X185" s="691"/>
      <c r="Y185" s="691"/>
    </row>
    <row r="186" spans="2:25" s="718" customFormat="1" ht="15.75">
      <c r="B186" s="699">
        <v>11</v>
      </c>
      <c r="C186" s="48" t="s">
        <v>223</v>
      </c>
      <c r="D186" s="151" t="s">
        <v>223</v>
      </c>
      <c r="E186" s="152"/>
      <c r="F186" s="153"/>
      <c r="G186" s="45">
        <v>0.25</v>
      </c>
      <c r="H186" s="40">
        <v>50</v>
      </c>
      <c r="I186" s="704"/>
      <c r="J186" s="704"/>
      <c r="K186" s="704"/>
      <c r="L186" s="704"/>
      <c r="M186" s="704"/>
      <c r="N186" s="704"/>
      <c r="O186" s="704"/>
      <c r="P186" s="704"/>
      <c r="Q186" s="704"/>
      <c r="R186" s="704"/>
      <c r="S186" s="704"/>
      <c r="T186" s="704"/>
      <c r="V186" s="691"/>
      <c r="W186" s="691"/>
      <c r="X186" s="691"/>
      <c r="Y186" s="691"/>
    </row>
    <row r="187" spans="2:25" s="718" customFormat="1" ht="15.75">
      <c r="B187" s="699">
        <v>12</v>
      </c>
      <c r="C187" s="48" t="s">
        <v>224</v>
      </c>
      <c r="D187" s="151" t="s">
        <v>224</v>
      </c>
      <c r="E187" s="152"/>
      <c r="F187" s="153"/>
      <c r="G187" s="45">
        <v>0.25</v>
      </c>
      <c r="H187" s="40">
        <v>50</v>
      </c>
      <c r="I187" s="704"/>
      <c r="J187" s="704"/>
      <c r="K187" s="704"/>
      <c r="L187" s="704"/>
      <c r="M187" s="704"/>
      <c r="N187" s="704"/>
      <c r="O187" s="704"/>
      <c r="P187" s="704"/>
      <c r="Q187" s="704"/>
      <c r="R187" s="704"/>
      <c r="S187" s="704"/>
      <c r="T187" s="704"/>
      <c r="V187" s="691"/>
      <c r="W187" s="691"/>
      <c r="X187" s="691"/>
      <c r="Y187" s="691"/>
    </row>
    <row r="188" spans="2:25" s="718" customFormat="1" ht="15.75">
      <c r="B188" s="699">
        <v>13</v>
      </c>
      <c r="C188" s="48" t="s">
        <v>215</v>
      </c>
      <c r="D188" s="151" t="s">
        <v>215</v>
      </c>
      <c r="E188" s="152"/>
      <c r="F188" s="153"/>
      <c r="G188" s="40">
        <v>0</v>
      </c>
      <c r="H188" s="39"/>
      <c r="I188" s="704"/>
      <c r="J188" s="704"/>
      <c r="K188" s="704"/>
      <c r="L188" s="704"/>
      <c r="M188" s="704"/>
      <c r="N188" s="704"/>
      <c r="O188" s="704"/>
      <c r="P188" s="704"/>
      <c r="Q188" s="704"/>
      <c r="R188" s="704"/>
      <c r="S188" s="704"/>
      <c r="T188" s="704"/>
      <c r="V188" s="691"/>
      <c r="W188" s="691"/>
      <c r="X188" s="691"/>
      <c r="Y188" s="691"/>
    </row>
    <row r="189" spans="2:25">
      <c r="M189" s="685"/>
    </row>
    <row r="190" spans="2:25">
      <c r="C190" s="721" t="s">
        <v>21</v>
      </c>
    </row>
    <row r="191" spans="2:25">
      <c r="B191" s="685">
        <v>1</v>
      </c>
      <c r="C191" s="721" t="s">
        <v>2198</v>
      </c>
    </row>
    <row r="192" spans="2:25">
      <c r="B192" s="685">
        <v>2</v>
      </c>
      <c r="C192" s="685" t="s">
        <v>2199</v>
      </c>
    </row>
    <row r="193" spans="2:15">
      <c r="B193" s="685">
        <v>3</v>
      </c>
      <c r="C193" s="685" t="s">
        <v>2200</v>
      </c>
    </row>
    <row r="194" spans="2:15">
      <c r="B194" s="685">
        <v>4</v>
      </c>
      <c r="C194" s="721" t="s">
        <v>2201</v>
      </c>
    </row>
    <row r="197" spans="2:15" ht="15.75">
      <c r="C197" s="38" t="s">
        <v>2202</v>
      </c>
      <c r="D197" s="129" t="s">
        <v>2203</v>
      </c>
      <c r="E197" s="722"/>
      <c r="F197" s="722"/>
      <c r="G197" s="723"/>
      <c r="H197" s="129" t="s">
        <v>2204</v>
      </c>
      <c r="I197" s="722"/>
      <c r="J197" s="722"/>
      <c r="K197" s="723"/>
      <c r="L197" s="129" t="s">
        <v>237</v>
      </c>
      <c r="M197" s="722"/>
      <c r="N197" s="722"/>
      <c r="O197" s="723"/>
    </row>
    <row r="198" spans="2:15">
      <c r="C198" s="724" t="s">
        <v>22</v>
      </c>
      <c r="D198" s="725" t="s">
        <v>2205</v>
      </c>
      <c r="E198" s="725" t="s">
        <v>2206</v>
      </c>
      <c r="F198" s="725" t="s">
        <v>2207</v>
      </c>
      <c r="G198" s="725" t="s">
        <v>2208</v>
      </c>
      <c r="H198" s="725" t="s">
        <v>2205</v>
      </c>
      <c r="I198" s="725" t="s">
        <v>2206</v>
      </c>
      <c r="J198" s="725" t="s">
        <v>2207</v>
      </c>
      <c r="K198" s="725" t="s">
        <v>2208</v>
      </c>
      <c r="L198" s="725" t="s">
        <v>2205</v>
      </c>
      <c r="M198" s="725" t="s">
        <v>2206</v>
      </c>
      <c r="N198" s="725" t="s">
        <v>2207</v>
      </c>
      <c r="O198" s="725" t="s">
        <v>2208</v>
      </c>
    </row>
    <row r="199" spans="2:15" ht="15.75">
      <c r="C199" s="48" t="s">
        <v>2149</v>
      </c>
      <c r="D199" s="39">
        <v>13339.641756650366</v>
      </c>
      <c r="E199" s="39">
        <v>-6189.3279792196117</v>
      </c>
      <c r="F199" s="39">
        <v>15</v>
      </c>
      <c r="G199" s="39">
        <v>25</v>
      </c>
      <c r="H199" s="39">
        <v>39067.3085504872</v>
      </c>
      <c r="I199" s="39">
        <v>757.60868477135955</v>
      </c>
      <c r="J199" s="39">
        <v>1</v>
      </c>
      <c r="K199" s="39">
        <v>2</v>
      </c>
      <c r="L199" s="39">
        <v>74807.322794678417</v>
      </c>
      <c r="M199" s="39">
        <v>27150.436942575048</v>
      </c>
      <c r="N199" s="39">
        <v>1</v>
      </c>
      <c r="O199" s="39">
        <v>2</v>
      </c>
    </row>
    <row r="200" spans="2:15" ht="15.75">
      <c r="C200" s="48" t="s">
        <v>2149</v>
      </c>
      <c r="D200" s="39">
        <v>6703.8053427377017</v>
      </c>
      <c r="E200" s="39">
        <v>159706.58236859698</v>
      </c>
      <c r="F200" s="39">
        <v>25</v>
      </c>
      <c r="G200" s="39">
        <v>50</v>
      </c>
      <c r="H200" s="39">
        <v>10560.809506419566</v>
      </c>
      <c r="I200" s="39">
        <v>57770.606772906634</v>
      </c>
      <c r="J200" s="39">
        <v>2</v>
      </c>
      <c r="K200" s="39">
        <v>5</v>
      </c>
      <c r="L200" s="39">
        <v>41130.503377136287</v>
      </c>
      <c r="M200" s="39">
        <v>94504.075777659338</v>
      </c>
      <c r="N200" s="39">
        <v>2</v>
      </c>
      <c r="O200" s="39">
        <v>6</v>
      </c>
    </row>
    <row r="201" spans="2:15" ht="15.75">
      <c r="C201" s="48" t="s">
        <v>2149</v>
      </c>
      <c r="D201" s="39">
        <v>6372.4849067652285</v>
      </c>
      <c r="E201" s="39">
        <v>176272.60416722065</v>
      </c>
      <c r="F201" s="39">
        <v>50</v>
      </c>
      <c r="G201" s="39">
        <v>100</v>
      </c>
      <c r="H201" s="39">
        <v>4353.0464083846309</v>
      </c>
      <c r="I201" s="39">
        <v>88809.422263081302</v>
      </c>
      <c r="J201" s="39">
        <v>5</v>
      </c>
      <c r="K201" s="39">
        <v>10</v>
      </c>
      <c r="L201" s="39">
        <v>12308.313798377969</v>
      </c>
      <c r="M201" s="39">
        <v>267437.21325020923</v>
      </c>
      <c r="N201" s="39">
        <v>6</v>
      </c>
      <c r="O201" s="39">
        <v>12</v>
      </c>
    </row>
    <row r="202" spans="2:15" ht="15.75">
      <c r="C202" s="48" t="s">
        <v>2149</v>
      </c>
      <c r="D202" s="39">
        <v>4610.9235351846337</v>
      </c>
      <c r="E202" s="39">
        <v>352428.74132528016</v>
      </c>
      <c r="F202" s="39">
        <v>100</v>
      </c>
      <c r="G202" s="39">
        <v>200</v>
      </c>
      <c r="H202" s="39">
        <v>18014.092946906621</v>
      </c>
      <c r="I202" s="39">
        <v>-47801.043122138595</v>
      </c>
      <c r="J202" s="39">
        <v>10</v>
      </c>
      <c r="K202" s="39">
        <v>15</v>
      </c>
      <c r="L202" s="39">
        <v>21343.352868729504</v>
      </c>
      <c r="M202" s="39">
        <v>159016.74440599082</v>
      </c>
      <c r="N202" s="39">
        <v>12</v>
      </c>
      <c r="O202" s="39">
        <v>20</v>
      </c>
    </row>
    <row r="203" spans="2:15" ht="15.75">
      <c r="C203" s="48" t="s">
        <v>2149</v>
      </c>
      <c r="D203" s="39">
        <v>4784.5483998926175</v>
      </c>
      <c r="E203" s="39">
        <v>317703.7683836834</v>
      </c>
      <c r="F203" s="39">
        <v>200</v>
      </c>
      <c r="G203" s="39">
        <v>300</v>
      </c>
      <c r="H203" s="39">
        <v>9951.8904762918191</v>
      </c>
      <c r="I203" s="39">
        <v>73131.993937083404</v>
      </c>
      <c r="J203" s="39">
        <v>15</v>
      </c>
      <c r="K203" s="39">
        <v>25</v>
      </c>
      <c r="L203" s="39">
        <v>7659.8457168516643</v>
      </c>
      <c r="M203" s="39">
        <v>432686.88744354754</v>
      </c>
      <c r="N203" s="39">
        <v>20</v>
      </c>
      <c r="O203" s="39">
        <v>40</v>
      </c>
    </row>
    <row r="204" spans="2:15" ht="15.75">
      <c r="C204" s="48" t="s">
        <v>2149</v>
      </c>
      <c r="D204" s="39">
        <v>3522.1177178222711</v>
      </c>
      <c r="E204" s="39">
        <v>696432.97300478723</v>
      </c>
      <c r="F204" s="39">
        <v>300</v>
      </c>
      <c r="G204" s="39">
        <v>400</v>
      </c>
      <c r="H204" s="39">
        <v>7439.1600449323923</v>
      </c>
      <c r="I204" s="39">
        <v>135950.25472106907</v>
      </c>
      <c r="J204" s="39">
        <v>25</v>
      </c>
      <c r="K204" s="39">
        <v>50</v>
      </c>
      <c r="M204" s="685"/>
    </row>
    <row r="205" spans="2:15" ht="15.75">
      <c r="C205" s="48" t="s">
        <v>2149</v>
      </c>
      <c r="D205" s="39">
        <v>3215.2259309818783</v>
      </c>
      <c r="E205" s="39">
        <v>819189.68774094433</v>
      </c>
      <c r="F205" s="39">
        <v>400</v>
      </c>
      <c r="G205" s="39">
        <v>500</v>
      </c>
      <c r="M205" s="685"/>
    </row>
    <row r="206" spans="2:15" ht="15.75">
      <c r="C206" s="48" t="s">
        <v>2149</v>
      </c>
      <c r="D206" s="39">
        <v>1326.9116229696274</v>
      </c>
      <c r="E206" s="39">
        <v>1763346.8417470697</v>
      </c>
      <c r="F206" s="39">
        <v>500</v>
      </c>
      <c r="G206" s="39">
        <v>750</v>
      </c>
      <c r="M206" s="685"/>
    </row>
    <row r="207" spans="2:15" ht="15.75">
      <c r="C207" s="48" t="s">
        <v>2149</v>
      </c>
      <c r="D207" s="39">
        <v>1619.0488864920344</v>
      </c>
      <c r="E207" s="39">
        <v>1544243.8941052647</v>
      </c>
      <c r="F207" s="39">
        <v>750</v>
      </c>
      <c r="G207" s="39">
        <v>1000</v>
      </c>
      <c r="M207" s="685"/>
    </row>
    <row r="208" spans="2:15" ht="15.75">
      <c r="C208" s="48" t="s">
        <v>2209</v>
      </c>
      <c r="D208" s="39">
        <v>205.57</v>
      </c>
      <c r="E208" s="39">
        <v>0</v>
      </c>
    </row>
    <row r="209" spans="2:40" ht="15.75">
      <c r="C209" s="48" t="s">
        <v>2210</v>
      </c>
      <c r="D209" s="39">
        <v>459.67</v>
      </c>
      <c r="E209" s="39">
        <v>0</v>
      </c>
    </row>
    <row r="210" spans="2:40" ht="15.75">
      <c r="C210" s="48" t="s">
        <v>2211</v>
      </c>
      <c r="D210" s="39">
        <v>185.3</v>
      </c>
      <c r="E210" s="39">
        <v>0</v>
      </c>
    </row>
    <row r="211" spans="2:40" ht="15.75">
      <c r="C211" s="48" t="s">
        <v>2212</v>
      </c>
      <c r="D211" s="39">
        <v>439.4</v>
      </c>
      <c r="E211" s="39">
        <v>8.9999999999999996E-12</v>
      </c>
      <c r="M211" s="685"/>
    </row>
    <row r="212" spans="2:40" ht="15.75">
      <c r="C212" s="48" t="s">
        <v>2211</v>
      </c>
      <c r="D212" s="39">
        <v>43.148000000000003</v>
      </c>
      <c r="E212" s="39">
        <v>9.9999999999999998E-13</v>
      </c>
      <c r="M212" s="685"/>
    </row>
    <row r="213" spans="2:40" ht="15.75">
      <c r="C213" s="48" t="s">
        <v>2212</v>
      </c>
      <c r="D213" s="39">
        <v>106.67</v>
      </c>
      <c r="E213" s="39">
        <v>0</v>
      </c>
      <c r="M213" s="685"/>
    </row>
    <row r="215" spans="2:40" ht="15.75">
      <c r="C215" s="38" t="s">
        <v>2213</v>
      </c>
    </row>
    <row r="216" spans="2:40" customFormat="1" ht="15.75">
      <c r="B216" s="699">
        <v>1</v>
      </c>
      <c r="C216" s="22" t="s">
        <v>110</v>
      </c>
      <c r="D216" s="22" t="s">
        <v>117</v>
      </c>
      <c r="E216" s="160">
        <v>0</v>
      </c>
      <c r="F216" s="685"/>
      <c r="G216" s="685"/>
      <c r="H216" s="685"/>
      <c r="I216" s="685"/>
      <c r="J216" s="685"/>
      <c r="K216" s="685"/>
      <c r="L216" s="685"/>
      <c r="M216" s="695"/>
      <c r="N216" s="685"/>
      <c r="O216" s="685"/>
      <c r="P216" s="685"/>
      <c r="Q216" s="685"/>
      <c r="R216" s="685"/>
      <c r="S216" s="685"/>
      <c r="T216" s="685"/>
      <c r="U216" s="685"/>
      <c r="V216" s="685"/>
      <c r="W216" s="685"/>
      <c r="X216" s="685"/>
      <c r="Y216" s="685"/>
      <c r="Z216" s="685"/>
      <c r="AA216" s="685"/>
      <c r="AB216" s="685"/>
      <c r="AC216" s="685"/>
      <c r="AD216" s="685"/>
      <c r="AE216" s="685"/>
      <c r="AF216" s="685"/>
      <c r="AG216" s="685"/>
      <c r="AH216" s="685"/>
      <c r="AI216" s="685"/>
      <c r="AJ216" s="685"/>
      <c r="AK216" s="685"/>
      <c r="AL216" s="685"/>
      <c r="AM216" s="685"/>
      <c r="AN216" s="685"/>
    </row>
    <row r="217" spans="2:40" customFormat="1" ht="15.75">
      <c r="B217" s="699">
        <v>2</v>
      </c>
      <c r="C217" s="22" t="s">
        <v>111</v>
      </c>
      <c r="D217" s="22" t="s">
        <v>117</v>
      </c>
      <c r="E217" s="160">
        <v>1.8541595481679496E-3</v>
      </c>
      <c r="F217" s="685"/>
      <c r="G217" s="685"/>
      <c r="H217" s="685"/>
      <c r="I217" s="685"/>
      <c r="J217" s="685"/>
      <c r="K217" s="685"/>
      <c r="L217" s="685"/>
      <c r="M217" s="695"/>
      <c r="N217" s="685"/>
      <c r="O217" s="685"/>
      <c r="P217" s="685"/>
      <c r="Q217" s="685"/>
      <c r="R217" s="685"/>
      <c r="S217" s="685"/>
      <c r="T217" s="685"/>
      <c r="U217" s="685"/>
      <c r="V217" s="685"/>
      <c r="W217" s="685"/>
      <c r="X217" s="685"/>
      <c r="Y217" s="685"/>
      <c r="Z217" s="685"/>
      <c r="AA217" s="685"/>
      <c r="AB217" s="685"/>
      <c r="AC217" s="685"/>
      <c r="AD217" s="685"/>
      <c r="AE217" s="685"/>
      <c r="AF217" s="685"/>
      <c r="AG217" s="685"/>
      <c r="AH217" s="685"/>
      <c r="AI217" s="685"/>
      <c r="AJ217" s="685"/>
      <c r="AK217" s="685"/>
      <c r="AL217" s="685"/>
      <c r="AM217" s="685"/>
      <c r="AN217" s="685"/>
    </row>
    <row r="218" spans="2:40" customFormat="1" ht="15.75">
      <c r="B218" s="699">
        <v>3</v>
      </c>
      <c r="C218" s="22" t="s">
        <v>112</v>
      </c>
      <c r="D218" s="22" t="s">
        <v>117</v>
      </c>
      <c r="E218" s="160">
        <v>4.2706131078224102E-2</v>
      </c>
      <c r="F218" s="685"/>
      <c r="G218" s="685"/>
      <c r="H218" s="685"/>
      <c r="I218" s="685"/>
      <c r="J218" s="685"/>
      <c r="K218" s="685"/>
      <c r="L218" s="685"/>
      <c r="M218" s="695"/>
      <c r="N218" s="685"/>
      <c r="O218" s="685"/>
      <c r="P218" s="685"/>
      <c r="Q218" s="685"/>
      <c r="R218" s="685"/>
      <c r="S218" s="685"/>
      <c r="T218" s="685"/>
      <c r="U218" s="685"/>
      <c r="V218" s="685"/>
      <c r="W218" s="685"/>
      <c r="X218" s="685"/>
      <c r="Y218" s="685"/>
      <c r="Z218" s="685"/>
      <c r="AA218" s="685"/>
      <c r="AB218" s="685"/>
      <c r="AC218" s="685"/>
      <c r="AD218" s="685"/>
      <c r="AE218" s="685"/>
      <c r="AF218" s="685"/>
      <c r="AG218" s="685"/>
      <c r="AH218" s="685"/>
      <c r="AI218" s="685"/>
      <c r="AJ218" s="685"/>
      <c r="AK218" s="685"/>
      <c r="AL218" s="685"/>
      <c r="AM218" s="685"/>
      <c r="AN218" s="685"/>
    </row>
    <row r="219" spans="2:40" customFormat="1" ht="15.75">
      <c r="B219" s="699">
        <v>4</v>
      </c>
      <c r="C219" s="22" t="s">
        <v>113</v>
      </c>
      <c r="D219" s="22" t="s">
        <v>117</v>
      </c>
      <c r="E219" s="160">
        <v>4.1156708349375293E-2</v>
      </c>
      <c r="F219" s="685"/>
      <c r="G219" s="685"/>
      <c r="H219" s="685"/>
      <c r="I219" s="685"/>
      <c r="J219" s="685"/>
      <c r="K219" s="685"/>
      <c r="L219" s="685"/>
      <c r="M219" s="695"/>
      <c r="N219" s="685"/>
      <c r="O219" s="685"/>
      <c r="P219" s="685"/>
      <c r="Q219" s="685"/>
      <c r="R219" s="685"/>
      <c r="S219" s="685"/>
      <c r="T219" s="685"/>
      <c r="U219" s="685"/>
      <c r="V219" s="685"/>
      <c r="W219" s="685"/>
      <c r="X219" s="685"/>
      <c r="Y219" s="685"/>
      <c r="Z219" s="685"/>
      <c r="AA219" s="685"/>
      <c r="AB219" s="685"/>
      <c r="AC219" s="685"/>
      <c r="AD219" s="685"/>
      <c r="AE219" s="685"/>
      <c r="AF219" s="685"/>
      <c r="AG219" s="685"/>
      <c r="AH219" s="685"/>
      <c r="AI219" s="685"/>
      <c r="AJ219" s="685"/>
      <c r="AK219" s="685"/>
      <c r="AL219" s="685"/>
      <c r="AM219" s="685"/>
      <c r="AN219" s="685"/>
    </row>
    <row r="220" spans="2:40" customFormat="1" ht="15.75">
      <c r="B220" s="699">
        <v>5</v>
      </c>
      <c r="C220" s="22" t="s">
        <v>1839</v>
      </c>
      <c r="D220" s="22" t="s">
        <v>2214</v>
      </c>
      <c r="E220" s="39">
        <v>0</v>
      </c>
      <c r="F220" s="685"/>
      <c r="G220" s="685"/>
      <c r="H220" s="685"/>
      <c r="I220" s="685"/>
      <c r="J220" s="685"/>
      <c r="K220" s="685"/>
      <c r="L220" s="685"/>
      <c r="M220" s="695"/>
      <c r="N220" s="685"/>
      <c r="O220" s="685"/>
      <c r="P220" s="685"/>
      <c r="Q220" s="685"/>
      <c r="R220" s="685"/>
      <c r="S220" s="685"/>
      <c r="T220" s="685"/>
      <c r="U220" s="685"/>
      <c r="V220" s="685"/>
      <c r="W220" s="685"/>
      <c r="X220" s="685"/>
      <c r="Y220" s="685"/>
      <c r="Z220" s="685"/>
      <c r="AA220" s="685"/>
      <c r="AB220" s="685"/>
      <c r="AC220" s="685"/>
      <c r="AD220" s="685"/>
      <c r="AE220" s="685"/>
      <c r="AF220" s="685"/>
      <c r="AG220" s="685"/>
      <c r="AH220" s="685"/>
      <c r="AI220" s="685"/>
      <c r="AJ220" s="685"/>
      <c r="AK220" s="685"/>
      <c r="AL220" s="685"/>
      <c r="AM220" s="685"/>
      <c r="AN220" s="685"/>
    </row>
    <row r="221" spans="2:40" customFormat="1" ht="15.75">
      <c r="B221" s="699">
        <v>6</v>
      </c>
      <c r="C221" s="22" t="s">
        <v>530</v>
      </c>
      <c r="D221" s="22" t="s">
        <v>2214</v>
      </c>
      <c r="E221" s="39">
        <v>0</v>
      </c>
      <c r="F221" s="685"/>
      <c r="G221" s="685"/>
    </row>
    <row r="222" spans="2:40" customFormat="1" ht="15.75">
      <c r="B222" s="699">
        <v>7</v>
      </c>
      <c r="C222" s="22" t="s">
        <v>524</v>
      </c>
      <c r="D222" s="22" t="s">
        <v>2214</v>
      </c>
      <c r="E222" s="39">
        <v>0</v>
      </c>
    </row>
    <row r="223" spans="2:40" customFormat="1" ht="15.75">
      <c r="B223" s="699">
        <v>8</v>
      </c>
      <c r="C223" s="22" t="s">
        <v>2359</v>
      </c>
      <c r="D223" s="22" t="s">
        <v>2214</v>
      </c>
      <c r="E223" s="39">
        <v>49.199999999999996</v>
      </c>
    </row>
    <row r="224" spans="2:40" customFormat="1" ht="15.75">
      <c r="B224" s="699">
        <v>9</v>
      </c>
      <c r="C224" s="22" t="s">
        <v>2360</v>
      </c>
      <c r="D224" s="22" t="s">
        <v>2214</v>
      </c>
      <c r="E224" s="39">
        <v>49.199999999999996</v>
      </c>
    </row>
    <row r="225" spans="2:5" customFormat="1" ht="15.75">
      <c r="B225" s="699">
        <v>10</v>
      </c>
      <c r="C225" s="22" t="s">
        <v>1843</v>
      </c>
      <c r="D225" s="22" t="s">
        <v>2214</v>
      </c>
      <c r="E225" s="39">
        <v>49.199999999999996</v>
      </c>
    </row>
    <row r="226" spans="2:5" customFormat="1" ht="15.75">
      <c r="B226" s="699">
        <v>11</v>
      </c>
      <c r="C226" s="22" t="s">
        <v>2361</v>
      </c>
      <c r="D226" s="22" t="s">
        <v>2214</v>
      </c>
      <c r="E226" s="39">
        <v>49.199999999999996</v>
      </c>
    </row>
    <row r="227" spans="2:5" customFormat="1" ht="15.75">
      <c r="B227" s="699">
        <v>12</v>
      </c>
      <c r="C227" s="22" t="s">
        <v>2362</v>
      </c>
      <c r="D227" s="22" t="s">
        <v>2214</v>
      </c>
      <c r="E227" s="39">
        <v>49.199999999999996</v>
      </c>
    </row>
    <row r="228" spans="2:5" customFormat="1" ht="15.75">
      <c r="B228" s="699">
        <v>13</v>
      </c>
      <c r="C228" s="22" t="s">
        <v>2363</v>
      </c>
      <c r="D228" s="22" t="s">
        <v>2214</v>
      </c>
      <c r="E228" s="39">
        <v>49.199999999999996</v>
      </c>
    </row>
    <row r="229" spans="2:5" customFormat="1" ht="15.75">
      <c r="B229" s="699">
        <v>14</v>
      </c>
      <c r="C229" s="22" t="s">
        <v>2364</v>
      </c>
      <c r="D229" s="22" t="s">
        <v>2214</v>
      </c>
      <c r="E229" s="39">
        <v>49.199999999999996</v>
      </c>
    </row>
    <row r="230" spans="2:5" customFormat="1" ht="15.75">
      <c r="B230" s="699">
        <v>15</v>
      </c>
      <c r="C230" s="22" t="s">
        <v>2365</v>
      </c>
      <c r="D230" s="22" t="s">
        <v>2214</v>
      </c>
      <c r="E230" s="39">
        <v>49.199999999999996</v>
      </c>
    </row>
    <row r="231" spans="2:5" customFormat="1" ht="15.75">
      <c r="B231" s="699">
        <v>16</v>
      </c>
      <c r="C231" s="22" t="s">
        <v>2366</v>
      </c>
      <c r="D231" s="22" t="s">
        <v>2214</v>
      </c>
      <c r="E231" s="39">
        <v>49.199999999999996</v>
      </c>
    </row>
    <row r="232" spans="2:5" customFormat="1" ht="15.75">
      <c r="B232" s="699">
        <v>17</v>
      </c>
      <c r="C232" s="22" t="s">
        <v>2367</v>
      </c>
      <c r="D232" s="22" t="s">
        <v>2214</v>
      </c>
      <c r="E232" s="39">
        <v>49.199999999999996</v>
      </c>
    </row>
    <row r="233" spans="2:5" customFormat="1" ht="15.75">
      <c r="B233" s="699">
        <v>18</v>
      </c>
      <c r="C233" s="22" t="s">
        <v>2368</v>
      </c>
      <c r="D233" s="22" t="s">
        <v>2214</v>
      </c>
      <c r="E233" s="39">
        <v>49.199999999999996</v>
      </c>
    </row>
    <row r="234" spans="2:5" customFormat="1" ht="15.75">
      <c r="B234" s="699">
        <v>19</v>
      </c>
      <c r="C234" s="22" t="s">
        <v>1840</v>
      </c>
      <c r="D234" s="22" t="s">
        <v>2214</v>
      </c>
      <c r="E234" s="39">
        <v>49.199999999999996</v>
      </c>
    </row>
    <row r="235" spans="2:5" customFormat="1" ht="15.75">
      <c r="B235" s="699">
        <v>20</v>
      </c>
      <c r="C235" s="22" t="s">
        <v>1841</v>
      </c>
      <c r="D235" s="22" t="s">
        <v>2214</v>
      </c>
      <c r="E235" s="39">
        <v>0</v>
      </c>
    </row>
    <row r="236" spans="2:5" customFormat="1" ht="15.75">
      <c r="B236" s="699">
        <v>21</v>
      </c>
      <c r="C236" s="22" t="s">
        <v>2369</v>
      </c>
      <c r="D236" s="22" t="s">
        <v>2214</v>
      </c>
      <c r="E236" s="39">
        <v>193.92000000000002</v>
      </c>
    </row>
    <row r="237" spans="2:5" customFormat="1" ht="15.75">
      <c r="B237" s="699">
        <v>22</v>
      </c>
      <c r="C237" s="22" t="s">
        <v>2370</v>
      </c>
      <c r="D237" s="22" t="s">
        <v>2214</v>
      </c>
      <c r="E237" s="39">
        <v>389.03999999999996</v>
      </c>
    </row>
    <row r="238" spans="2:5" customFormat="1" ht="15.75">
      <c r="B238" s="699">
        <v>23</v>
      </c>
      <c r="C238" s="22" t="s">
        <v>2371</v>
      </c>
      <c r="D238" s="22" t="s">
        <v>2214</v>
      </c>
      <c r="E238" s="39">
        <v>578.4</v>
      </c>
    </row>
    <row r="239" spans="2:5" customFormat="1" ht="15.75">
      <c r="B239" s="699">
        <v>24</v>
      </c>
      <c r="C239" s="22" t="s">
        <v>2372</v>
      </c>
      <c r="D239" s="22" t="s">
        <v>2214</v>
      </c>
      <c r="E239" s="39">
        <v>821.52</v>
      </c>
    </row>
    <row r="240" spans="2:5" customFormat="1" ht="15.75">
      <c r="B240" s="699">
        <v>25</v>
      </c>
      <c r="C240" s="22" t="s">
        <v>2373</v>
      </c>
      <c r="D240" s="22" t="s">
        <v>2214</v>
      </c>
      <c r="E240" s="39">
        <v>1064.6400000000001</v>
      </c>
    </row>
    <row r="241" spans="2:5" customFormat="1" ht="15.75">
      <c r="B241" s="699">
        <v>26</v>
      </c>
      <c r="C241" s="22" t="s">
        <v>2374</v>
      </c>
      <c r="D241" s="22" t="s">
        <v>2214</v>
      </c>
      <c r="E241" s="39">
        <v>1156.8</v>
      </c>
    </row>
    <row r="242" spans="2:5" customFormat="1" ht="15.75">
      <c r="B242" s="699">
        <v>27</v>
      </c>
      <c r="C242" s="22" t="s">
        <v>2375</v>
      </c>
      <c r="D242" s="22" t="s">
        <v>2214</v>
      </c>
      <c r="E242" s="39">
        <v>1400.6399999999999</v>
      </c>
    </row>
    <row r="243" spans="2:5" customFormat="1" ht="15.75">
      <c r="B243" s="699">
        <v>28</v>
      </c>
      <c r="C243" s="22" t="s">
        <v>2376</v>
      </c>
      <c r="D243" s="22" t="s">
        <v>2214</v>
      </c>
      <c r="E243" s="39">
        <v>1686.72</v>
      </c>
    </row>
    <row r="244" spans="2:5" customFormat="1" ht="15.75">
      <c r="B244" s="699">
        <v>29</v>
      </c>
      <c r="C244" s="22" t="s">
        <v>2377</v>
      </c>
      <c r="D244" s="22" t="s">
        <v>2214</v>
      </c>
      <c r="E244" s="39">
        <v>712.8</v>
      </c>
    </row>
    <row r="245" spans="2:5" customFormat="1" ht="15.75">
      <c r="B245" s="699">
        <v>30</v>
      </c>
      <c r="C245" s="22" t="s">
        <v>1973</v>
      </c>
      <c r="D245" s="22" t="s">
        <v>2214</v>
      </c>
      <c r="E245" s="39">
        <v>869.76</v>
      </c>
    </row>
    <row r="246" spans="2:5" customFormat="1" ht="15.75">
      <c r="B246" s="699">
        <v>31</v>
      </c>
      <c r="C246" s="22" t="s">
        <v>2378</v>
      </c>
      <c r="D246" s="22" t="s">
        <v>2214</v>
      </c>
      <c r="E246" s="39">
        <v>1493.28</v>
      </c>
    </row>
    <row r="247" spans="2:5" customFormat="1" ht="15.75">
      <c r="B247" s="699">
        <v>32</v>
      </c>
      <c r="C247" s="22" t="s">
        <v>2379</v>
      </c>
      <c r="D247" s="22" t="s">
        <v>2214</v>
      </c>
      <c r="E247" s="39">
        <v>2227.1999999999998</v>
      </c>
    </row>
    <row r="248" spans="2:5" customFormat="1" ht="15.75">
      <c r="B248" s="699">
        <v>33</v>
      </c>
      <c r="C248" s="22" t="s">
        <v>2380</v>
      </c>
      <c r="D248" s="22" t="s">
        <v>2214</v>
      </c>
      <c r="E248" s="39">
        <v>2852.16</v>
      </c>
    </row>
    <row r="249" spans="2:5" customFormat="1" ht="15.75">
      <c r="B249" s="699">
        <v>34</v>
      </c>
      <c r="C249" s="22" t="s">
        <v>1842</v>
      </c>
      <c r="D249" s="22" t="s">
        <v>2214</v>
      </c>
      <c r="E249" s="39">
        <v>3475.68</v>
      </c>
    </row>
    <row r="250" spans="2:5" customFormat="1" ht="15.75">
      <c r="B250" s="699">
        <v>35</v>
      </c>
      <c r="C250" s="22" t="s">
        <v>2381</v>
      </c>
      <c r="D250" s="22" t="s">
        <v>2215</v>
      </c>
      <c r="E250" s="40">
        <v>0.96479999999999999</v>
      </c>
    </row>
    <row r="251" spans="2:5" customFormat="1" ht="15.75">
      <c r="B251" s="699">
        <v>36</v>
      </c>
      <c r="C251" s="22" t="s">
        <v>2382</v>
      </c>
      <c r="D251" s="22" t="s">
        <v>2215</v>
      </c>
      <c r="E251" s="40">
        <v>0.48096</v>
      </c>
    </row>
    <row r="252" spans="2:5" customFormat="1" ht="15.75">
      <c r="B252" s="699">
        <v>37</v>
      </c>
      <c r="C252" s="22" t="s">
        <v>2383</v>
      </c>
      <c r="D252" s="22" t="s">
        <v>2215</v>
      </c>
      <c r="E252" s="40">
        <v>0.36</v>
      </c>
    </row>
    <row r="253" spans="2:5" customFormat="1" ht="15.75">
      <c r="B253" s="699">
        <v>38</v>
      </c>
      <c r="C253" s="22" t="s">
        <v>2384</v>
      </c>
      <c r="D253" s="22" t="s">
        <v>2215</v>
      </c>
      <c r="E253" s="40">
        <v>0.36</v>
      </c>
    </row>
    <row r="254" spans="2:5" customFormat="1" ht="15.75">
      <c r="B254" s="699">
        <v>39</v>
      </c>
      <c r="C254" s="22" t="s">
        <v>2385</v>
      </c>
      <c r="D254" s="22" t="s">
        <v>2215</v>
      </c>
      <c r="E254" s="40">
        <v>0.72</v>
      </c>
    </row>
    <row r="255" spans="2:5" customFormat="1" ht="15.75">
      <c r="B255" s="699">
        <v>40</v>
      </c>
      <c r="C255" s="22" t="s">
        <v>156</v>
      </c>
      <c r="D255" s="22" t="s">
        <v>304</v>
      </c>
      <c r="E255" s="40">
        <v>7.5398223686155035</v>
      </c>
    </row>
    <row r="256" spans="2:5" customFormat="1" ht="15.75">
      <c r="B256" s="699">
        <v>41</v>
      </c>
      <c r="C256" s="22" t="s">
        <v>158</v>
      </c>
      <c r="D256" s="22" t="s">
        <v>304</v>
      </c>
      <c r="E256" s="39">
        <v>16.792576494636776</v>
      </c>
    </row>
    <row r="257" spans="2:6" customFormat="1" ht="15.75">
      <c r="B257" s="699">
        <v>42</v>
      </c>
      <c r="C257" s="22" t="s">
        <v>1868</v>
      </c>
      <c r="D257" s="22" t="s">
        <v>2216</v>
      </c>
      <c r="E257" s="39">
        <v>201.6</v>
      </c>
      <c r="F257" s="214"/>
    </row>
    <row r="258" spans="2:6" ht="15.75">
      <c r="B258" s="699">
        <v>43</v>
      </c>
      <c r="C258" s="22" t="s">
        <v>1869</v>
      </c>
      <c r="D258" s="22" t="s">
        <v>2216</v>
      </c>
      <c r="E258" s="39">
        <v>403.2</v>
      </c>
    </row>
    <row r="259" spans="2:6" ht="15.75">
      <c r="B259" s="699">
        <v>44</v>
      </c>
      <c r="C259" s="22" t="s">
        <v>1870</v>
      </c>
      <c r="D259" s="22" t="s">
        <v>2216</v>
      </c>
      <c r="E259" s="39">
        <v>604.79999999999995</v>
      </c>
    </row>
    <row r="260" spans="2:6" ht="15.75">
      <c r="B260" s="699">
        <v>45</v>
      </c>
      <c r="C260" s="22" t="s">
        <v>1871</v>
      </c>
      <c r="D260" s="22" t="s">
        <v>2216</v>
      </c>
      <c r="E260" s="39">
        <v>1108.8</v>
      </c>
    </row>
    <row r="261" spans="2:6" ht="15.75">
      <c r="B261" s="699">
        <v>46</v>
      </c>
      <c r="C261" s="22" t="s">
        <v>1872</v>
      </c>
      <c r="D261" s="22" t="s">
        <v>2216</v>
      </c>
      <c r="E261" s="39">
        <v>1713.6</v>
      </c>
    </row>
    <row r="262" spans="2:6" ht="15.75">
      <c r="B262" s="699">
        <v>47</v>
      </c>
      <c r="C262" s="22" t="s">
        <v>1873</v>
      </c>
      <c r="D262" s="22" t="s">
        <v>2216</v>
      </c>
      <c r="E262" s="39">
        <v>2016</v>
      </c>
    </row>
    <row r="263" spans="2:6" ht="15.75">
      <c r="B263" s="699">
        <v>48</v>
      </c>
      <c r="C263" s="22" t="s">
        <v>1874</v>
      </c>
      <c r="D263" s="22" t="s">
        <v>2216</v>
      </c>
      <c r="E263" s="39">
        <v>2116.7999999999997</v>
      </c>
    </row>
    <row r="264" spans="2:6" ht="15.75">
      <c r="B264" s="699">
        <v>49</v>
      </c>
      <c r="C264" s="22" t="s">
        <v>1875</v>
      </c>
      <c r="D264" s="22" t="s">
        <v>2216</v>
      </c>
      <c r="E264" s="39">
        <v>2217.6</v>
      </c>
    </row>
    <row r="265" spans="2:6" ht="15.75">
      <c r="B265" s="699">
        <v>50</v>
      </c>
      <c r="C265" s="22" t="s">
        <v>1876</v>
      </c>
      <c r="D265" s="22" t="s">
        <v>2216</v>
      </c>
      <c r="E265" s="39">
        <v>2268</v>
      </c>
    </row>
    <row r="266" spans="2:6" ht="15.75">
      <c r="B266" s="699">
        <v>51</v>
      </c>
      <c r="C266" s="22" t="s">
        <v>1877</v>
      </c>
      <c r="D266" s="22" t="s">
        <v>2216</v>
      </c>
      <c r="E266" s="39">
        <v>2318.4</v>
      </c>
    </row>
    <row r="267" spans="2:6" ht="15.75">
      <c r="B267" s="699">
        <v>52</v>
      </c>
      <c r="C267" s="22" t="s">
        <v>1889</v>
      </c>
      <c r="D267" s="22" t="s">
        <v>2216</v>
      </c>
      <c r="E267" s="39">
        <v>25.2</v>
      </c>
    </row>
    <row r="268" spans="2:6" ht="15.75">
      <c r="B268" s="699">
        <v>53</v>
      </c>
      <c r="C268" s="22" t="s">
        <v>1884</v>
      </c>
      <c r="D268" s="22" t="s">
        <v>2216</v>
      </c>
      <c r="E268" s="39">
        <v>50.4</v>
      </c>
    </row>
    <row r="269" spans="2:6" ht="15.75">
      <c r="B269" s="699">
        <v>54</v>
      </c>
      <c r="C269" s="22" t="s">
        <v>1885</v>
      </c>
      <c r="D269" s="22" t="s">
        <v>2216</v>
      </c>
      <c r="E269" s="39">
        <v>50.4</v>
      </c>
    </row>
    <row r="270" spans="2:6" ht="15.75">
      <c r="B270" s="699">
        <v>55</v>
      </c>
      <c r="C270" s="22" t="s">
        <v>1883</v>
      </c>
      <c r="D270" s="22" t="s">
        <v>2216</v>
      </c>
      <c r="E270" s="39">
        <v>50.4</v>
      </c>
    </row>
    <row r="271" spans="2:6" ht="15.75">
      <c r="B271" s="699">
        <v>56</v>
      </c>
      <c r="C271" s="22" t="s">
        <v>1886</v>
      </c>
      <c r="D271" s="22" t="s">
        <v>2216</v>
      </c>
      <c r="E271" s="39">
        <v>100.8</v>
      </c>
    </row>
    <row r="272" spans="2:6" ht="15.75">
      <c r="B272" s="699">
        <v>57</v>
      </c>
      <c r="C272" s="22" t="s">
        <v>1887</v>
      </c>
      <c r="D272" s="22" t="s">
        <v>2216</v>
      </c>
      <c r="E272" s="39">
        <v>100.8</v>
      </c>
    </row>
    <row r="273" spans="2:5" ht="15.75">
      <c r="B273" s="699">
        <v>58</v>
      </c>
      <c r="C273" s="22" t="s">
        <v>1888</v>
      </c>
      <c r="D273" s="22" t="s">
        <v>2216</v>
      </c>
      <c r="E273" s="39">
        <v>151.19999999999999</v>
      </c>
    </row>
    <row r="274" spans="2:5" ht="15.75">
      <c r="B274" s="699">
        <v>59</v>
      </c>
      <c r="C274" s="22" t="s">
        <v>1911</v>
      </c>
      <c r="D274" s="22" t="s">
        <v>2216</v>
      </c>
      <c r="E274" s="40">
        <v>0</v>
      </c>
    </row>
    <row r="275" spans="2:5" ht="15.75">
      <c r="B275" s="699">
        <v>60</v>
      </c>
      <c r="C275" s="22" t="s">
        <v>1912</v>
      </c>
      <c r="D275" s="22" t="s">
        <v>2216</v>
      </c>
      <c r="E275" s="40">
        <v>0</v>
      </c>
    </row>
    <row r="276" spans="2:5" ht="15.75">
      <c r="B276" s="699">
        <v>61</v>
      </c>
      <c r="C276" s="22" t="s">
        <v>1913</v>
      </c>
      <c r="D276" s="22" t="s">
        <v>2216</v>
      </c>
      <c r="E276" s="39">
        <v>22.61946710584651</v>
      </c>
    </row>
    <row r="277" spans="2:5" ht="15.75">
      <c r="B277" s="699">
        <v>62</v>
      </c>
      <c r="C277" s="22" t="s">
        <v>1914</v>
      </c>
      <c r="D277" s="22" t="s">
        <v>2216</v>
      </c>
      <c r="E277" s="39">
        <v>54.286721054031624</v>
      </c>
    </row>
    <row r="278" spans="2:5" ht="15.75">
      <c r="B278" s="699">
        <v>63</v>
      </c>
      <c r="C278" s="22" t="s">
        <v>1915</v>
      </c>
      <c r="D278" s="22" t="s">
        <v>2216</v>
      </c>
      <c r="E278" s="39">
        <v>111.58937105550945</v>
      </c>
    </row>
    <row r="279" spans="2:5" ht="15.75">
      <c r="B279" s="699">
        <v>64</v>
      </c>
      <c r="C279" s="22" t="s">
        <v>1916</v>
      </c>
      <c r="D279" s="22" t="s">
        <v>2216</v>
      </c>
      <c r="E279" s="39">
        <v>104.80353092375546</v>
      </c>
    </row>
    <row r="280" spans="2:5" ht="15.75">
      <c r="B280" s="699">
        <v>65</v>
      </c>
      <c r="C280" s="22" t="s">
        <v>1917</v>
      </c>
      <c r="D280" s="22" t="s">
        <v>2216</v>
      </c>
      <c r="E280" s="39">
        <v>202.82122171575702</v>
      </c>
    </row>
    <row r="281" spans="2:5" ht="15.75">
      <c r="B281" s="699">
        <v>66</v>
      </c>
      <c r="C281" s="22" t="s">
        <v>1922</v>
      </c>
      <c r="D281" s="22" t="s">
        <v>2216</v>
      </c>
      <c r="E281" s="39">
        <v>370.89557368467723</v>
      </c>
    </row>
    <row r="282" spans="2:5" ht="15.75">
      <c r="B282" s="699">
        <v>67</v>
      </c>
      <c r="C282" s="22" t="s">
        <v>1923</v>
      </c>
      <c r="D282" s="22" t="s">
        <v>2216</v>
      </c>
      <c r="E282" s="39">
        <v>640.99114736935439</v>
      </c>
    </row>
    <row r="283" spans="2:5" ht="15.75">
      <c r="B283" s="699">
        <v>68</v>
      </c>
      <c r="C283" s="22" t="s">
        <v>1964</v>
      </c>
      <c r="D283" s="22" t="s">
        <v>2216</v>
      </c>
      <c r="E283" s="39">
        <v>69326.672869638162</v>
      </c>
    </row>
    <row r="284" spans="2:5" ht="15.75">
      <c r="B284" s="699">
        <v>69</v>
      </c>
      <c r="C284" s="22" t="s">
        <v>2468</v>
      </c>
      <c r="D284" s="22" t="s">
        <v>2216</v>
      </c>
      <c r="E284" s="39">
        <v>69380.672869638162</v>
      </c>
    </row>
    <row r="285" spans="2:5" ht="15.75">
      <c r="B285" s="699">
        <v>70</v>
      </c>
      <c r="C285" s="22" t="s">
        <v>2469</v>
      </c>
      <c r="D285" s="22" t="s">
        <v>2216</v>
      </c>
      <c r="E285" s="39">
        <v>69434.672869638162</v>
      </c>
    </row>
    <row r="286" spans="2:5" ht="15.75">
      <c r="B286" s="699">
        <v>71</v>
      </c>
      <c r="C286" s="22" t="s">
        <v>1894</v>
      </c>
      <c r="D286" s="22" t="s">
        <v>2216</v>
      </c>
      <c r="E286" s="39">
        <v>105.6</v>
      </c>
    </row>
    <row r="287" spans="2:5" ht="15.75">
      <c r="B287" s="699">
        <v>72</v>
      </c>
      <c r="C287" s="22" t="s">
        <v>1895</v>
      </c>
      <c r="D287" s="22" t="s">
        <v>2216</v>
      </c>
      <c r="E287" s="39">
        <v>211.2</v>
      </c>
    </row>
    <row r="288" spans="2:5" ht="15.75">
      <c r="B288" s="699">
        <v>73</v>
      </c>
      <c r="C288" s="22" t="s">
        <v>1896</v>
      </c>
      <c r="D288" s="22" t="s">
        <v>2216</v>
      </c>
      <c r="E288" s="39">
        <v>475.2</v>
      </c>
    </row>
    <row r="289" spans="2:5" ht="15.75">
      <c r="B289" s="699">
        <v>74</v>
      </c>
      <c r="C289" s="22" t="s">
        <v>1897</v>
      </c>
      <c r="D289" s="22" t="s">
        <v>2216</v>
      </c>
      <c r="E289" s="39">
        <v>580.79999999999995</v>
      </c>
    </row>
    <row r="290" spans="2:5" ht="15.75">
      <c r="B290" s="699">
        <v>75</v>
      </c>
      <c r="C290" s="22" t="s">
        <v>1898</v>
      </c>
      <c r="D290" s="22" t="s">
        <v>2216</v>
      </c>
      <c r="E290" s="39">
        <v>739.19999999999993</v>
      </c>
    </row>
    <row r="291" spans="2:5" ht="15.75">
      <c r="B291" s="699">
        <v>76</v>
      </c>
      <c r="C291" s="22" t="s">
        <v>1899</v>
      </c>
      <c r="D291" s="22" t="s">
        <v>2216</v>
      </c>
      <c r="E291" s="39">
        <v>844.8</v>
      </c>
    </row>
    <row r="292" spans="2:5" ht="15.75">
      <c r="B292" s="699">
        <v>77</v>
      </c>
      <c r="C292" s="22" t="s">
        <v>1900</v>
      </c>
      <c r="D292" s="22" t="s">
        <v>2216</v>
      </c>
      <c r="E292" s="39">
        <v>4012.7999999999997</v>
      </c>
    </row>
    <row r="293" spans="2:5" ht="15.75">
      <c r="B293" s="699">
        <v>78</v>
      </c>
      <c r="C293" s="22" t="s">
        <v>1901</v>
      </c>
      <c r="D293" s="22" t="s">
        <v>2216</v>
      </c>
      <c r="E293" s="39">
        <v>4435.2</v>
      </c>
    </row>
    <row r="294" spans="2:5" ht="15.75">
      <c r="B294" s="699">
        <v>79</v>
      </c>
      <c r="C294" s="22" t="s">
        <v>1236</v>
      </c>
      <c r="D294" s="22" t="s">
        <v>2216</v>
      </c>
      <c r="E294" s="40">
        <v>0</v>
      </c>
    </row>
    <row r="295" spans="2:5" ht="15.75">
      <c r="B295" s="699">
        <v>80</v>
      </c>
      <c r="C295" s="22" t="s">
        <v>1238</v>
      </c>
      <c r="D295" s="22" t="s">
        <v>2216</v>
      </c>
      <c r="E295" s="40">
        <v>0</v>
      </c>
    </row>
    <row r="296" spans="2:5" ht="15.75">
      <c r="B296" s="699">
        <v>81</v>
      </c>
      <c r="C296" s="22" t="s">
        <v>1240</v>
      </c>
      <c r="D296" s="22" t="s">
        <v>2216</v>
      </c>
      <c r="E296" s="40">
        <v>0</v>
      </c>
    </row>
    <row r="297" spans="2:5" ht="15.75">
      <c r="B297" s="699">
        <v>82</v>
      </c>
      <c r="C297" s="22" t="s">
        <v>1968</v>
      </c>
      <c r="D297" s="22" t="s">
        <v>178</v>
      </c>
      <c r="E297" s="40">
        <v>0</v>
      </c>
    </row>
    <row r="298" spans="2:5" ht="15.75">
      <c r="B298" s="699">
        <v>83</v>
      </c>
      <c r="C298" s="22" t="s">
        <v>1969</v>
      </c>
      <c r="D298" s="22" t="s">
        <v>178</v>
      </c>
      <c r="E298" s="40">
        <v>0</v>
      </c>
    </row>
    <row r="299" spans="2:5" ht="15.75">
      <c r="B299" s="699">
        <v>84</v>
      </c>
      <c r="C299" s="22" t="s">
        <v>2624</v>
      </c>
      <c r="D299" s="22" t="s">
        <v>178</v>
      </c>
      <c r="E299" s="40">
        <v>0</v>
      </c>
    </row>
    <row r="300" spans="2:5" ht="15.75">
      <c r="B300" s="699">
        <v>85</v>
      </c>
      <c r="C300" s="22" t="s">
        <v>2625</v>
      </c>
      <c r="D300" s="22" t="s">
        <v>178</v>
      </c>
      <c r="E300" s="40">
        <v>0</v>
      </c>
    </row>
    <row r="301" spans="2:5" ht="15.75">
      <c r="B301" s="699">
        <v>86</v>
      </c>
      <c r="C301" s="22" t="s">
        <v>2626</v>
      </c>
      <c r="D301" s="22" t="s">
        <v>178</v>
      </c>
      <c r="E301" s="40">
        <v>0</v>
      </c>
    </row>
    <row r="302" spans="2:5" ht="15.75">
      <c r="B302" s="699">
        <v>87</v>
      </c>
      <c r="C302" s="22" t="s">
        <v>2627</v>
      </c>
      <c r="D302" s="22" t="s">
        <v>178</v>
      </c>
      <c r="E302" s="40">
        <v>0</v>
      </c>
    </row>
    <row r="303" spans="2:5" ht="15.75">
      <c r="B303" s="699">
        <v>88</v>
      </c>
      <c r="C303" s="22" t="s">
        <v>2628</v>
      </c>
      <c r="D303" s="22" t="s">
        <v>178</v>
      </c>
      <c r="E303" s="40">
        <v>0</v>
      </c>
    </row>
    <row r="304" spans="2:5" ht="15.75">
      <c r="B304" s="699">
        <v>89</v>
      </c>
      <c r="C304" s="22" t="s">
        <v>2629</v>
      </c>
      <c r="D304" s="22" t="s">
        <v>178</v>
      </c>
      <c r="E304" s="40">
        <v>0</v>
      </c>
    </row>
    <row r="305" spans="2:5" ht="15.75">
      <c r="B305" s="699">
        <v>90</v>
      </c>
      <c r="C305" s="22" t="s">
        <v>2630</v>
      </c>
      <c r="D305" s="22" t="s">
        <v>178</v>
      </c>
      <c r="E305" s="40">
        <v>46.746898685416127</v>
      </c>
    </row>
    <row r="306" spans="2:5" ht="15.75">
      <c r="B306" s="699">
        <v>91</v>
      </c>
      <c r="C306" s="22" t="s">
        <v>2631</v>
      </c>
      <c r="D306" s="22" t="s">
        <v>178</v>
      </c>
      <c r="E306" s="40">
        <v>54.286721054031659</v>
      </c>
    </row>
    <row r="307" spans="2:5" ht="15.75">
      <c r="B307" s="699">
        <v>92</v>
      </c>
      <c r="C307" s="22" t="s">
        <v>1970</v>
      </c>
      <c r="D307" s="22" t="s">
        <v>178</v>
      </c>
      <c r="E307" s="40">
        <v>58.810614475201</v>
      </c>
    </row>
    <row r="308" spans="2:5" ht="15.75">
      <c r="B308" s="699">
        <v>93</v>
      </c>
      <c r="C308" s="22" t="s">
        <v>2632</v>
      </c>
      <c r="D308" s="22" t="s">
        <v>178</v>
      </c>
      <c r="E308" s="40">
        <v>0</v>
      </c>
    </row>
    <row r="309" spans="2:5" ht="15.75">
      <c r="B309" s="699">
        <v>94</v>
      </c>
      <c r="C309" s="22" t="s">
        <v>2633</v>
      </c>
      <c r="D309" s="22" t="s">
        <v>178</v>
      </c>
      <c r="E309" s="40">
        <v>0</v>
      </c>
    </row>
    <row r="310" spans="2:5" ht="15.75">
      <c r="B310" s="699">
        <v>95</v>
      </c>
      <c r="C310" s="22" t="s">
        <v>2634</v>
      </c>
      <c r="D310" s="22" t="s">
        <v>178</v>
      </c>
      <c r="E310" s="40">
        <v>0</v>
      </c>
    </row>
    <row r="311" spans="2:5" ht="15.75">
      <c r="B311" s="699">
        <v>96</v>
      </c>
      <c r="C311" s="22" t="s">
        <v>2635</v>
      </c>
      <c r="D311" s="22" t="s">
        <v>178</v>
      </c>
      <c r="E311" s="40">
        <v>0</v>
      </c>
    </row>
    <row r="312" spans="2:5" ht="15.75">
      <c r="B312" s="699">
        <v>97</v>
      </c>
      <c r="C312" s="22" t="s">
        <v>2636</v>
      </c>
      <c r="D312" s="22" t="s">
        <v>178</v>
      </c>
      <c r="E312" s="40">
        <v>0</v>
      </c>
    </row>
    <row r="313" spans="2:5" ht="15.75">
      <c r="B313" s="699">
        <v>98</v>
      </c>
      <c r="C313" s="22" t="s">
        <v>2637</v>
      </c>
      <c r="D313" s="22" t="s">
        <v>178</v>
      </c>
      <c r="E313" s="40">
        <v>0</v>
      </c>
    </row>
    <row r="314" spans="2:5" ht="15.75">
      <c r="B314" s="699">
        <v>99</v>
      </c>
      <c r="C314" s="22" t="s">
        <v>2638</v>
      </c>
      <c r="D314" s="22" t="s">
        <v>178</v>
      </c>
      <c r="E314" s="40">
        <v>0</v>
      </c>
    </row>
    <row r="315" spans="2:5" ht="15.75">
      <c r="B315" s="699">
        <v>100</v>
      </c>
      <c r="C315" s="22" t="s">
        <v>2639</v>
      </c>
      <c r="D315" s="22" t="s">
        <v>178</v>
      </c>
      <c r="E315" s="40">
        <v>0</v>
      </c>
    </row>
    <row r="316" spans="2:5" ht="15.75">
      <c r="B316" s="699">
        <v>101</v>
      </c>
      <c r="C316" s="22" t="s">
        <v>2640</v>
      </c>
      <c r="D316" s="22" t="s">
        <v>178</v>
      </c>
      <c r="E316" s="40">
        <v>0</v>
      </c>
    </row>
    <row r="317" spans="2:5" ht="15.75">
      <c r="B317" s="699">
        <v>102</v>
      </c>
      <c r="C317" s="22" t="s">
        <v>2641</v>
      </c>
      <c r="D317" s="22" t="s">
        <v>178</v>
      </c>
      <c r="E317" s="40">
        <v>0</v>
      </c>
    </row>
    <row r="318" spans="2:5" ht="15.75">
      <c r="B318" s="699">
        <v>103</v>
      </c>
      <c r="C318" s="22" t="s">
        <v>2642</v>
      </c>
      <c r="D318" s="22" t="s">
        <v>178</v>
      </c>
      <c r="E318" s="40">
        <v>0</v>
      </c>
    </row>
    <row r="319" spans="2:5" ht="15.75">
      <c r="B319" s="699">
        <v>104</v>
      </c>
      <c r="C319" s="22" t="s">
        <v>2643</v>
      </c>
      <c r="D319" s="22" t="s">
        <v>178</v>
      </c>
      <c r="E319" s="40">
        <v>7.5398223686155035</v>
      </c>
    </row>
    <row r="320" spans="2:5" ht="15.75">
      <c r="B320" s="699">
        <v>105</v>
      </c>
      <c r="C320" s="22" t="s">
        <v>154</v>
      </c>
      <c r="D320" s="22" t="s">
        <v>178</v>
      </c>
      <c r="E320" s="40">
        <v>9.0477868423386028</v>
      </c>
    </row>
    <row r="321" spans="2:5" ht="15.75">
      <c r="B321" s="699">
        <v>106</v>
      </c>
      <c r="C321" s="22" t="s">
        <v>2644</v>
      </c>
      <c r="D321" s="22" t="s">
        <v>178</v>
      </c>
      <c r="E321" s="40">
        <v>10.555751316061704</v>
      </c>
    </row>
    <row r="322" spans="2:5" ht="15.75">
      <c r="B322" s="699">
        <v>107</v>
      </c>
      <c r="C322" s="22" t="s">
        <v>2645</v>
      </c>
      <c r="D322" s="22" t="s">
        <v>178</v>
      </c>
      <c r="E322" s="40">
        <v>13.571680263507908</v>
      </c>
    </row>
    <row r="323" spans="2:5" ht="15.75">
      <c r="B323" s="699">
        <v>108</v>
      </c>
      <c r="C323" s="22" t="s">
        <v>2646</v>
      </c>
      <c r="D323" s="22" t="s">
        <v>178</v>
      </c>
      <c r="E323" s="40">
        <v>16.587609210954106</v>
      </c>
    </row>
    <row r="324" spans="2:5" ht="15.75">
      <c r="B324" s="699">
        <v>109</v>
      </c>
      <c r="C324" s="22" t="s">
        <v>2647</v>
      </c>
      <c r="D324" s="22" t="s">
        <v>178</v>
      </c>
      <c r="E324" s="40">
        <v>19.603538158400305</v>
      </c>
    </row>
    <row r="325" spans="2:5" ht="15.75">
      <c r="B325" s="699">
        <v>110</v>
      </c>
      <c r="C325" s="22" t="s">
        <v>2648</v>
      </c>
      <c r="D325" s="22" t="s">
        <v>178</v>
      </c>
      <c r="E325" s="40">
        <v>22.619467105846514</v>
      </c>
    </row>
    <row r="326" spans="2:5" ht="15.75">
      <c r="B326" s="699">
        <v>111</v>
      </c>
      <c r="C326" s="22" t="s">
        <v>2649</v>
      </c>
      <c r="D326" s="22" t="s">
        <v>178</v>
      </c>
      <c r="E326" s="40">
        <v>25.635396053292705</v>
      </c>
    </row>
    <row r="327" spans="2:5" ht="15.75">
      <c r="B327" s="699">
        <v>112</v>
      </c>
      <c r="C327" s="22" t="s">
        <v>2650</v>
      </c>
      <c r="D327" s="22" t="s">
        <v>178</v>
      </c>
      <c r="E327" s="40">
        <v>27.143360527015805</v>
      </c>
    </row>
    <row r="328" spans="2:5" ht="15.75">
      <c r="B328" s="699">
        <v>113</v>
      </c>
      <c r="C328" s="22" t="s">
        <v>2651</v>
      </c>
      <c r="D328" s="22" t="s">
        <v>178</v>
      </c>
      <c r="E328" s="40">
        <v>29.405307237600447</v>
      </c>
    </row>
    <row r="329" spans="2:5" ht="15.75">
      <c r="B329" s="699">
        <v>114</v>
      </c>
      <c r="C329" s="22" t="s">
        <v>2652</v>
      </c>
      <c r="D329" s="22" t="s">
        <v>178</v>
      </c>
      <c r="E329" s="40">
        <v>94.096983160321471</v>
      </c>
    </row>
    <row r="330" spans="2:5" ht="15.75">
      <c r="B330" s="699">
        <v>115</v>
      </c>
      <c r="C330" s="22" t="s">
        <v>2653</v>
      </c>
      <c r="D330" s="22" t="s">
        <v>178</v>
      </c>
      <c r="E330" s="40">
        <v>115.81167158193412</v>
      </c>
    </row>
    <row r="331" spans="2:5" ht="15.75">
      <c r="B331" s="699">
        <v>116</v>
      </c>
      <c r="C331" s="22" t="s">
        <v>2654</v>
      </c>
      <c r="D331" s="22" t="s">
        <v>178</v>
      </c>
      <c r="E331" s="40">
        <v>168.59042816224266</v>
      </c>
    </row>
    <row r="332" spans="2:5" ht="15.75">
      <c r="B332" s="699">
        <v>117</v>
      </c>
      <c r="C332" s="22" t="s">
        <v>2655</v>
      </c>
      <c r="D332" s="22" t="s">
        <v>178</v>
      </c>
      <c r="E332" s="40">
        <v>203.48472608419522</v>
      </c>
    </row>
    <row r="333" spans="2:5" ht="15.75">
      <c r="B333" s="699">
        <v>118</v>
      </c>
      <c r="C333" s="22" t="s">
        <v>2656</v>
      </c>
      <c r="D333" s="22" t="s">
        <v>178</v>
      </c>
      <c r="E333" s="40">
        <v>244.2902447431423</v>
      </c>
    </row>
    <row r="334" spans="2:5" ht="15.75">
      <c r="B334" s="699">
        <v>119</v>
      </c>
      <c r="C334" s="22" t="s">
        <v>2657</v>
      </c>
      <c r="D334" s="22" t="s">
        <v>178</v>
      </c>
      <c r="E334" s="40">
        <v>337.78404211397452</v>
      </c>
    </row>
    <row r="335" spans="2:5" ht="15.75">
      <c r="B335" s="699">
        <v>120</v>
      </c>
      <c r="C335" s="22" t="s">
        <v>2658</v>
      </c>
      <c r="D335" s="22" t="s">
        <v>178</v>
      </c>
      <c r="E335" s="40">
        <v>399.91217843136633</v>
      </c>
    </row>
    <row r="336" spans="2:5" ht="15.75">
      <c r="B336" s="699">
        <v>121</v>
      </c>
      <c r="C336" s="22" t="s">
        <v>2659</v>
      </c>
      <c r="D336" s="22" t="s">
        <v>178</v>
      </c>
      <c r="E336" s="40">
        <v>512.70792106585418</v>
      </c>
    </row>
    <row r="337" spans="2:19" ht="15.75">
      <c r="B337" s="699">
        <v>122</v>
      </c>
      <c r="C337" s="22" t="s">
        <v>2660</v>
      </c>
      <c r="D337" s="22" t="s">
        <v>178</v>
      </c>
      <c r="E337" s="40">
        <v>640.88490133231778</v>
      </c>
    </row>
    <row r="338" spans="2:19" ht="15.75">
      <c r="B338" s="699">
        <v>123</v>
      </c>
      <c r="C338" s="22" t="s">
        <v>2661</v>
      </c>
      <c r="D338" s="22" t="s">
        <v>178</v>
      </c>
      <c r="E338" s="40">
        <v>707.53693107087884</v>
      </c>
    </row>
    <row r="339" spans="2:19" ht="15.75">
      <c r="B339" s="699">
        <v>124</v>
      </c>
      <c r="C339" s="22" t="s">
        <v>2662</v>
      </c>
      <c r="D339" s="22" t="s">
        <v>178</v>
      </c>
      <c r="E339" s="40">
        <v>0</v>
      </c>
    </row>
    <row r="340" spans="2:19" ht="15.75">
      <c r="B340" s="699">
        <v>125</v>
      </c>
      <c r="C340" s="22" t="s">
        <v>2663</v>
      </c>
      <c r="D340" s="22" t="s">
        <v>178</v>
      </c>
      <c r="E340" s="40">
        <v>0</v>
      </c>
    </row>
    <row r="341" spans="2:19" ht="15.75">
      <c r="B341" s="699">
        <v>126</v>
      </c>
      <c r="C341" s="22" t="s">
        <v>2664</v>
      </c>
      <c r="D341" s="22" t="s">
        <v>178</v>
      </c>
      <c r="E341" s="40">
        <v>0</v>
      </c>
    </row>
    <row r="342" spans="2:19" ht="15.75">
      <c r="B342" s="699">
        <v>127</v>
      </c>
      <c r="C342" s="22" t="s">
        <v>2665</v>
      </c>
      <c r="D342" s="22" t="s">
        <v>178</v>
      </c>
      <c r="E342" s="40">
        <v>0</v>
      </c>
    </row>
    <row r="343" spans="2:19" ht="15.75">
      <c r="B343" s="699">
        <v>128</v>
      </c>
      <c r="C343" s="22" t="s">
        <v>2666</v>
      </c>
      <c r="D343" s="22" t="s">
        <v>178</v>
      </c>
      <c r="E343" s="40">
        <v>0</v>
      </c>
    </row>
    <row r="344" spans="2:19" ht="15.75">
      <c r="B344" s="699">
        <v>129</v>
      </c>
      <c r="C344" s="22" t="s">
        <v>2667</v>
      </c>
      <c r="D344" s="22" t="s">
        <v>178</v>
      </c>
      <c r="E344" s="40">
        <v>0</v>
      </c>
    </row>
    <row r="346" spans="2:19">
      <c r="B346" s="726"/>
      <c r="C346" s="726"/>
      <c r="D346" s="726"/>
      <c r="E346" s="726"/>
      <c r="F346" s="726"/>
      <c r="G346" s="726"/>
      <c r="H346" s="726"/>
      <c r="I346" s="726"/>
      <c r="J346" s="726"/>
      <c r="K346" s="726"/>
      <c r="L346" s="726"/>
      <c r="M346" s="727"/>
      <c r="N346" s="726"/>
      <c r="O346" s="726"/>
      <c r="P346" s="726"/>
      <c r="Q346" s="726"/>
      <c r="R346" s="726"/>
      <c r="S346" s="726"/>
    </row>
  </sheetData>
  <sheetProtection algorithmName="SHA-512" hashValue="cdLqDm6Pnl/Edo+YdBbgtVEDHXr4A5D+6vByXOVONCQ4N4bgjpvZv8MxeS0qDCOWRbnSu6umzFZ+NTrZKHFC6g==" saltValue="MOln1MHwW00G6Jc101x8+A==" spinCount="100000" sheet="1" objects="1" scenarios="1" autoFilter="0"/>
  <phoneticPr fontId="12" type="noConversion"/>
  <hyperlinks>
    <hyperlink ref="F172" r:id="rId1" xr:uid="{D4FF1B39-08E9-43AF-8FA2-CAA616917B6C}"/>
    <hyperlink ref="B3" location="CONTENTS" display="Contents" xr:uid="{8A790117-A52C-419B-85BF-8AADAE0916C5}"/>
    <hyperlink ref="C166" location="Soil_Ammendment_Distances" display="Land Amendment Distances" xr:uid="{1E71A12B-DAB0-4D99-9C61-73797F4A4B17}"/>
  </hyperlinks>
  <pageMargins left="0.23622047244094491" right="0.23622047244094491" top="0.74803149606299213" bottom="0.74803149606299213" header="0.31496062992125984" footer="0.31496062992125984"/>
  <pageSetup paperSize="9" scale="72" fitToHeight="0" orientation="landscape" r:id="rId2"/>
  <headerFooter>
    <oddFooter>&amp;CPage &amp;P of &amp;N</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35DCB-2336-4053-8B09-532E2C41B151}">
  <sheetPr codeName="Sheet42"/>
  <dimension ref="A1:O368"/>
  <sheetViews>
    <sheetView showGridLines="0" zoomScaleNormal="100" workbookViewId="0">
      <pane xSplit="2" ySplit="3" topLeftCell="C4" activePane="bottomRight" state="frozen"/>
      <selection pane="topRight" activeCell="F215" sqref="F215"/>
      <selection pane="bottomLeft" activeCell="F215" sqref="F215"/>
      <selection pane="bottomRight"/>
    </sheetView>
  </sheetViews>
  <sheetFormatPr defaultColWidth="8.7109375" defaultRowHeight="12.75"/>
  <cols>
    <col min="3" max="3" width="55.42578125" customWidth="1"/>
    <col min="4" max="20" width="12.5703125" customWidth="1"/>
  </cols>
  <sheetData>
    <row r="1" spans="2:15">
      <c r="C1" s="728">
        <v>1</v>
      </c>
      <c r="D1" s="728">
        <f>C1+1</f>
        <v>2</v>
      </c>
      <c r="E1" s="728">
        <f t="shared" ref="E1:K1" si="0">D1+1</f>
        <v>3</v>
      </c>
      <c r="F1" s="728">
        <f t="shared" si="0"/>
        <v>4</v>
      </c>
      <c r="G1" s="728">
        <f t="shared" si="0"/>
        <v>5</v>
      </c>
      <c r="H1" s="728">
        <f t="shared" si="0"/>
        <v>6</v>
      </c>
      <c r="I1" s="728">
        <f t="shared" si="0"/>
        <v>7</v>
      </c>
      <c r="J1" s="728">
        <f t="shared" si="0"/>
        <v>8</v>
      </c>
      <c r="K1" s="728">
        <f t="shared" si="0"/>
        <v>9</v>
      </c>
      <c r="L1" s="728">
        <f t="shared" ref="L1" si="1">K1+1</f>
        <v>10</v>
      </c>
      <c r="M1" s="728">
        <f t="shared" ref="M1" si="2">L1+1</f>
        <v>11</v>
      </c>
      <c r="N1" s="728">
        <f t="shared" ref="N1" si="3">M1+1</f>
        <v>12</v>
      </c>
      <c r="O1" s="728">
        <f t="shared" ref="O1" si="4">N1+1</f>
        <v>13</v>
      </c>
    </row>
    <row r="2" spans="2:15" ht="16.350000000000001" customHeight="1">
      <c r="B2" s="254" t="str">
        <f>CONTENTS!$B$2</f>
        <v>Petroleum and Gas Estimated Rehabilitation Cost Calculator</v>
      </c>
    </row>
    <row r="3" spans="2:15" ht="20.100000000000001" customHeight="1">
      <c r="B3" s="20" t="s">
        <v>305</v>
      </c>
      <c r="C3" s="729" t="s">
        <v>2217</v>
      </c>
      <c r="D3" s="730"/>
      <c r="E3" s="730"/>
      <c r="F3" s="730"/>
      <c r="G3" s="730"/>
      <c r="H3" s="730"/>
      <c r="I3" s="731"/>
    </row>
    <row r="4" spans="2:15">
      <c r="C4" s="254"/>
    </row>
    <row r="5" spans="2:15">
      <c r="D5" t="s">
        <v>68</v>
      </c>
      <c r="E5" t="s">
        <v>69</v>
      </c>
    </row>
    <row r="6" spans="2:15">
      <c r="B6" s="732" t="s">
        <v>2218</v>
      </c>
      <c r="C6" s="482">
        <v>1</v>
      </c>
      <c r="D6" s="482">
        <v>2</v>
      </c>
      <c r="E6" s="482">
        <v>3</v>
      </c>
      <c r="F6" s="482">
        <v>4</v>
      </c>
      <c r="G6" s="482">
        <v>5</v>
      </c>
      <c r="H6" s="482">
        <v>6</v>
      </c>
    </row>
    <row r="7" spans="2:15" ht="33.75">
      <c r="C7" s="733" t="s">
        <v>281</v>
      </c>
      <c r="D7" s="734" t="s">
        <v>2219</v>
      </c>
      <c r="E7" s="734" t="s">
        <v>2153</v>
      </c>
      <c r="F7" s="734" t="s">
        <v>2220</v>
      </c>
      <c r="G7" s="734" t="s">
        <v>2221</v>
      </c>
      <c r="H7" s="734" t="s">
        <v>2221</v>
      </c>
      <c r="J7" s="735" t="s">
        <v>2222</v>
      </c>
      <c r="K7" s="735" t="s">
        <v>2031</v>
      </c>
    </row>
    <row r="8" spans="2:15">
      <c r="C8" s="736" t="s">
        <v>78</v>
      </c>
      <c r="D8" s="737" t="s">
        <v>2055</v>
      </c>
      <c r="E8" s="737" t="s">
        <v>197</v>
      </c>
      <c r="F8" s="737" t="s">
        <v>2223</v>
      </c>
      <c r="G8" s="737" t="s">
        <v>91</v>
      </c>
      <c r="H8" s="737" t="s">
        <v>92</v>
      </c>
      <c r="J8" t="s">
        <v>2055</v>
      </c>
      <c r="K8" t="s">
        <v>197</v>
      </c>
    </row>
    <row r="9" spans="2:15">
      <c r="C9" s="738" t="s">
        <v>273</v>
      </c>
      <c r="D9" s="417">
        <v>3.0953055046989575</v>
      </c>
      <c r="E9" s="417">
        <v>3.0028820562850829</v>
      </c>
      <c r="F9" s="417">
        <v>3.9374755912728556</v>
      </c>
      <c r="G9" s="417">
        <v>2.9924249772466083</v>
      </c>
      <c r="H9" s="417">
        <v>2.3107425720267765</v>
      </c>
      <c r="J9" t="s">
        <v>91</v>
      </c>
      <c r="K9" t="s">
        <v>91</v>
      </c>
    </row>
    <row r="10" spans="2:15">
      <c r="C10" s="738" t="s">
        <v>139</v>
      </c>
      <c r="D10" s="417">
        <v>3.1249071043050654</v>
      </c>
      <c r="E10" s="417">
        <v>3.3496879411679226</v>
      </c>
      <c r="F10" s="417">
        <v>4.2842814761556953</v>
      </c>
      <c r="G10" s="417">
        <v>2.9924249772466083</v>
      </c>
      <c r="H10" s="417">
        <v>2.2236364292729962</v>
      </c>
      <c r="J10" t="s">
        <v>92</v>
      </c>
      <c r="K10" t="s">
        <v>92</v>
      </c>
    </row>
    <row r="11" spans="2:15">
      <c r="C11" s="738" t="s">
        <v>2224</v>
      </c>
      <c r="D11" s="417">
        <v>3.6040593856905492</v>
      </c>
      <c r="E11" s="417">
        <v>3.8730704616176004</v>
      </c>
      <c r="F11" s="417">
        <v>4.8076639966053722</v>
      </c>
      <c r="G11" s="417">
        <v>3.3532715896100336</v>
      </c>
      <c r="H11" s="417">
        <v>2.194992931725829</v>
      </c>
    </row>
    <row r="12" spans="2:15">
      <c r="C12" s="738" t="s">
        <v>196</v>
      </c>
      <c r="D12" s="417">
        <v>4.083211667076033</v>
      </c>
      <c r="E12" s="417">
        <v>4.0496470971844385</v>
      </c>
      <c r="F12" s="417">
        <v>4.9842406321722104</v>
      </c>
      <c r="G12" s="417">
        <v>3.7141182019734589</v>
      </c>
      <c r="H12" s="417">
        <v>2.3633051791915571</v>
      </c>
    </row>
    <row r="13" spans="2:15">
      <c r="C13" s="738" t="s">
        <v>137</v>
      </c>
      <c r="D13" s="417">
        <v>4.1128132666821413</v>
      </c>
      <c r="E13" s="417">
        <v>4.1959334917652953</v>
      </c>
      <c r="F13" s="417">
        <v>5.1305270267530672</v>
      </c>
      <c r="G13" s="417">
        <v>4.06999094171446</v>
      </c>
      <c r="H13" s="417">
        <v>2.6158896948969668</v>
      </c>
    </row>
    <row r="14" spans="2:15">
      <c r="C14" s="738" t="s">
        <v>138</v>
      </c>
      <c r="D14" s="417">
        <v>4.459619151564981</v>
      </c>
      <c r="E14" s="417">
        <v>4.8370337692595307</v>
      </c>
      <c r="F14" s="417">
        <v>5.7716273042473034</v>
      </c>
      <c r="G14" s="417">
        <v>4.5132363002130571</v>
      </c>
      <c r="H14" s="417">
        <v>2.7917183979444165</v>
      </c>
    </row>
    <row r="15" spans="2:15">
      <c r="C15" s="738" t="s">
        <v>2225</v>
      </c>
      <c r="D15" s="417">
        <v>4.8064250364478198</v>
      </c>
      <c r="E15" s="417">
        <v>5.3318476521729101</v>
      </c>
      <c r="F15" s="417">
        <v>6.2664411871606829</v>
      </c>
      <c r="G15" s="417">
        <v>4.8378574121313207</v>
      </c>
      <c r="H15" s="417">
        <v>2.8930707673075085</v>
      </c>
    </row>
    <row r="16" spans="2:15">
      <c r="C16" s="738" t="s">
        <v>2226</v>
      </c>
      <c r="D16" s="417">
        <v>5.1532309213306595</v>
      </c>
      <c r="E16" s="417">
        <v>5.6786535370557498</v>
      </c>
      <c r="F16" s="417">
        <v>6.6132470720435226</v>
      </c>
      <c r="G16" s="417">
        <v>5.0751059052919878</v>
      </c>
      <c r="H16" s="417">
        <v>3.0813113306030515</v>
      </c>
      <c r="I16" s="739"/>
    </row>
    <row r="17" spans="2:10">
      <c r="C17" s="738" t="s">
        <v>2227</v>
      </c>
      <c r="D17" s="417">
        <v>5.846842691096338</v>
      </c>
      <c r="E17" s="417">
        <v>6.3722653068214292</v>
      </c>
      <c r="F17" s="417">
        <v>7.306858841809202</v>
      </c>
      <c r="G17" s="417">
        <v>5.3123543984526549</v>
      </c>
      <c r="H17" s="417">
        <v>3.3357315432765167</v>
      </c>
    </row>
    <row r="18" spans="2:10">
      <c r="C18" s="738" t="s">
        <v>2228</v>
      </c>
      <c r="D18" s="417">
        <v>6.5404544608620174</v>
      </c>
      <c r="E18" s="417">
        <v>7.0658770765871086</v>
      </c>
      <c r="F18" s="417">
        <v>8.0004706115748796</v>
      </c>
      <c r="G18" s="417">
        <v>5.7868513847739891</v>
      </c>
      <c r="H18" s="417">
        <v>3.5308027779023461</v>
      </c>
    </row>
    <row r="19" spans="2:10">
      <c r="C19" s="738" t="s">
        <v>2229</v>
      </c>
      <c r="D19" s="417">
        <v>6.8872603457448571</v>
      </c>
      <c r="E19" s="417">
        <v>7.4126829614699474</v>
      </c>
      <c r="F19" s="417">
        <v>8.3472764964577202</v>
      </c>
      <c r="G19" s="417">
        <v>6.0240998779346571</v>
      </c>
      <c r="H19" s="417">
        <v>3.5914357833883166</v>
      </c>
    </row>
    <row r="21" spans="2:10">
      <c r="B21" s="732" t="s">
        <v>2230</v>
      </c>
      <c r="C21" s="190" t="s">
        <v>2231</v>
      </c>
    </row>
    <row r="22" spans="2:10">
      <c r="C22" s="740" t="s">
        <v>78</v>
      </c>
      <c r="D22" s="737" t="s">
        <v>2</v>
      </c>
      <c r="E22" s="737" t="s">
        <v>3</v>
      </c>
      <c r="F22" s="737" t="s">
        <v>4</v>
      </c>
      <c r="G22" s="737" t="s">
        <v>5</v>
      </c>
      <c r="H22" s="737" t="s">
        <v>6</v>
      </c>
      <c r="I22" s="737" t="s">
        <v>7</v>
      </c>
      <c r="J22" s="214"/>
    </row>
    <row r="23" spans="2:10">
      <c r="C23" s="738" t="s">
        <v>2054</v>
      </c>
      <c r="D23" s="417">
        <v>0.46877340590978289</v>
      </c>
      <c r="E23" s="417">
        <v>0.38224657423257252</v>
      </c>
      <c r="F23" s="417">
        <v>0.32505803677675804</v>
      </c>
      <c r="G23" s="417">
        <v>0.2724455328408466</v>
      </c>
      <c r="H23" s="417">
        <v>0.25891031258482206</v>
      </c>
      <c r="I23" s="417">
        <v>0.1953642292578</v>
      </c>
    </row>
    <row r="24" spans="2:10">
      <c r="C24" s="738" t="s">
        <v>2056</v>
      </c>
      <c r="D24" s="417">
        <v>0.48789338193545134</v>
      </c>
      <c r="E24" s="417">
        <v>0.39917463680572929</v>
      </c>
      <c r="F24" s="417">
        <v>0.36651249699628813</v>
      </c>
      <c r="G24" s="417">
        <v>0.30230556324020341</v>
      </c>
      <c r="H24" s="417">
        <v>0.29192899244858056</v>
      </c>
      <c r="I24" s="417">
        <v>0.22528286550985166</v>
      </c>
    </row>
    <row r="25" spans="2:10">
      <c r="C25" s="738" t="s">
        <v>2232</v>
      </c>
      <c r="D25" s="417">
        <v>0.76837776177447292</v>
      </c>
      <c r="E25" s="417">
        <v>0.52659016154992022</v>
      </c>
      <c r="F25" s="417">
        <v>0.50337903879702839</v>
      </c>
      <c r="G25" s="417">
        <v>0.4093377368562503</v>
      </c>
      <c r="H25" s="417">
        <v>0.40094386090534784</v>
      </c>
      <c r="I25" s="417">
        <v>0.32296498013875163</v>
      </c>
    </row>
    <row r="26" spans="2:10">
      <c r="C26" s="738" t="s">
        <v>2233</v>
      </c>
      <c r="D26" s="417">
        <v>1.1854008650371486</v>
      </c>
      <c r="E26" s="417">
        <v>0.74325722767444657</v>
      </c>
      <c r="F26" s="417">
        <v>0.71690129549871684</v>
      </c>
      <c r="G26" s="417">
        <v>0.57150256996520099</v>
      </c>
      <c r="H26" s="417">
        <v>0.55783076273926735</v>
      </c>
      <c r="I26" s="417">
        <v>0.45584986826820001</v>
      </c>
    </row>
    <row r="27" spans="2:10">
      <c r="C27" s="738" t="s">
        <v>2234</v>
      </c>
      <c r="D27" s="417">
        <v>1.6316224701252069</v>
      </c>
      <c r="E27" s="417">
        <v>1.0617960395349237</v>
      </c>
      <c r="F27" s="417">
        <v>1.1070227830178723</v>
      </c>
      <c r="G27" s="417">
        <v>0.83277639444881701</v>
      </c>
      <c r="H27" s="417">
        <v>0.80265998814842376</v>
      </c>
      <c r="I27" s="417">
        <v>0.65121409752600001</v>
      </c>
    </row>
    <row r="28" spans="2:10">
      <c r="C28" s="738" t="s">
        <v>2235</v>
      </c>
      <c r="D28" s="417">
        <v>1.9221853757639424</v>
      </c>
      <c r="E28" s="417">
        <v>1.2741552474419084</v>
      </c>
      <c r="F28" s="417">
        <v>1.7053234126356434</v>
      </c>
      <c r="G28" s="417">
        <v>1.2140223396264576</v>
      </c>
      <c r="H28" s="417">
        <v>1.0496655589376329</v>
      </c>
      <c r="I28" s="417">
        <v>0.87913903166009999</v>
      </c>
    </row>
    <row r="29" spans="2:10">
      <c r="C29" s="738" t="s">
        <v>2236</v>
      </c>
      <c r="D29" s="417" t="s">
        <v>130</v>
      </c>
      <c r="E29" s="417" t="s">
        <v>130</v>
      </c>
      <c r="F29" s="417">
        <v>2.3810501193897524</v>
      </c>
      <c r="G29" s="417">
        <v>1.5268301736289112</v>
      </c>
      <c r="H29" s="417">
        <v>1.2294293044233549</v>
      </c>
      <c r="I29" s="417">
        <v>1.0745032609179002</v>
      </c>
    </row>
    <row r="30" spans="2:10">
      <c r="C30" s="738" t="s">
        <v>2237</v>
      </c>
      <c r="D30" s="417" t="s">
        <v>130</v>
      </c>
      <c r="E30" s="417" t="s">
        <v>130</v>
      </c>
      <c r="F30" s="417">
        <v>3.2614156356601391</v>
      </c>
      <c r="G30" s="417">
        <v>1.952526318692734</v>
      </c>
      <c r="H30" s="417">
        <v>1.5260973709267969</v>
      </c>
      <c r="I30" s="417">
        <v>1.3675496048046001</v>
      </c>
    </row>
    <row r="31" spans="2:10">
      <c r="C31" s="738" t="s">
        <v>2238</v>
      </c>
      <c r="D31" s="417" t="s">
        <v>130</v>
      </c>
      <c r="E31" s="417" t="s">
        <v>130</v>
      </c>
      <c r="F31" s="417">
        <v>3.7923437623955105</v>
      </c>
      <c r="G31" s="417">
        <v>2.1973555402124809</v>
      </c>
      <c r="H31" s="417">
        <v>1.8805064808792342</v>
      </c>
      <c r="I31" s="417">
        <v>1.604043145485095</v>
      </c>
    </row>
    <row r="32" spans="2:10">
      <c r="C32" s="738" t="s">
        <v>2239</v>
      </c>
      <c r="D32" s="417" t="s">
        <v>130</v>
      </c>
      <c r="E32" s="417" t="s">
        <v>130</v>
      </c>
      <c r="F32" s="417" t="s">
        <v>130</v>
      </c>
      <c r="G32" s="417">
        <v>2.6388182091675567</v>
      </c>
      <c r="H32" s="417">
        <v>2.0914704392816823</v>
      </c>
      <c r="I32" s="417">
        <v>1.6908716918218949</v>
      </c>
    </row>
    <row r="33" spans="2:9">
      <c r="C33" s="738" t="s">
        <v>2240</v>
      </c>
      <c r="D33" s="417" t="s">
        <v>130</v>
      </c>
      <c r="E33" s="417" t="s">
        <v>130</v>
      </c>
      <c r="F33" s="417" t="s">
        <v>130</v>
      </c>
      <c r="G33" s="417">
        <v>4.0807473600889335</v>
      </c>
      <c r="H33" s="417">
        <v>2.7797603930675461</v>
      </c>
      <c r="I33" s="417">
        <v>2.2473270816583533</v>
      </c>
    </row>
    <row r="34" spans="2:9">
      <c r="C34" s="738" t="s">
        <v>2241</v>
      </c>
      <c r="D34" s="417" t="s">
        <v>130</v>
      </c>
      <c r="E34" s="417" t="s">
        <v>130</v>
      </c>
      <c r="F34" s="417" t="s">
        <v>130</v>
      </c>
      <c r="G34" s="417">
        <v>5.164695877612556</v>
      </c>
      <c r="H34" s="417">
        <v>3.5181342474761128</v>
      </c>
      <c r="I34" s="417">
        <v>2.8442733377238536</v>
      </c>
    </row>
    <row r="35" spans="2:9">
      <c r="C35" s="738" t="s">
        <v>2242</v>
      </c>
      <c r="D35" s="417" t="s">
        <v>130</v>
      </c>
      <c r="E35" s="417" t="s">
        <v>130</v>
      </c>
      <c r="F35" s="417" t="s">
        <v>130</v>
      </c>
      <c r="G35" s="417">
        <v>5.4985752070743779</v>
      </c>
      <c r="H35" s="417">
        <v>3.7455691887270941</v>
      </c>
      <c r="I35" s="417">
        <v>3.0281455534959001</v>
      </c>
    </row>
    <row r="36" spans="2:9">
      <c r="C36" s="738" t="s">
        <v>2243</v>
      </c>
      <c r="D36" s="417" t="s">
        <v>130</v>
      </c>
      <c r="E36" s="417" t="s">
        <v>130</v>
      </c>
      <c r="F36" s="417" t="s">
        <v>130</v>
      </c>
      <c r="G36" s="417">
        <v>5.6759486008509707</v>
      </c>
      <c r="H36" s="417">
        <v>4.3178972481251217</v>
      </c>
      <c r="I36" s="417">
        <v>3.6193794051971371</v>
      </c>
    </row>
    <row r="38" spans="2:9">
      <c r="B38" s="732" t="s">
        <v>2244</v>
      </c>
      <c r="C38" s="741" t="s">
        <v>118</v>
      </c>
      <c r="D38" s="417">
        <v>400.15945742176939</v>
      </c>
      <c r="E38" s="214" t="s">
        <v>119</v>
      </c>
      <c r="F38" s="214" t="s">
        <v>2245</v>
      </c>
    </row>
    <row r="39" spans="2:9">
      <c r="C39" s="741" t="s">
        <v>2246</v>
      </c>
      <c r="D39" s="417">
        <v>1745.9924669141947</v>
      </c>
      <c r="E39" s="214" t="s">
        <v>119</v>
      </c>
      <c r="F39" s="214" t="s">
        <v>2247</v>
      </c>
    </row>
    <row r="40" spans="2:9">
      <c r="C40" s="214"/>
      <c r="D40" s="214"/>
      <c r="E40" s="214"/>
      <c r="F40" s="214"/>
    </row>
    <row r="41" spans="2:9">
      <c r="D41" s="742"/>
      <c r="E41" s="742"/>
    </row>
    <row r="42" spans="2:9">
      <c r="B42" s="732" t="s">
        <v>2248</v>
      </c>
      <c r="C42" s="743" t="s">
        <v>1845</v>
      </c>
      <c r="D42" s="744" t="s">
        <v>2249</v>
      </c>
      <c r="E42" s="742"/>
    </row>
    <row r="43" spans="2:9">
      <c r="C43" s="739" t="s">
        <v>124</v>
      </c>
      <c r="D43" s="417">
        <v>1655.5</v>
      </c>
    </row>
    <row r="44" spans="2:9">
      <c r="C44" s="739" t="s">
        <v>133</v>
      </c>
      <c r="D44" s="417">
        <v>4196.5</v>
      </c>
    </row>
    <row r="45" spans="2:9">
      <c r="C45" s="739" t="s">
        <v>99</v>
      </c>
      <c r="D45" s="417">
        <v>0</v>
      </c>
    </row>
    <row r="47" spans="2:9">
      <c r="C47" s="743" t="s">
        <v>2250</v>
      </c>
      <c r="D47" s="744" t="s">
        <v>2251</v>
      </c>
      <c r="E47" s="742"/>
    </row>
    <row r="48" spans="2:9">
      <c r="C48" s="739" t="s">
        <v>228</v>
      </c>
      <c r="D48" s="417">
        <v>100</v>
      </c>
      <c r="E48" s="742"/>
    </row>
    <row r="49" spans="3:5">
      <c r="C49" s="739" t="s">
        <v>229</v>
      </c>
      <c r="D49" s="417">
        <v>70</v>
      </c>
      <c r="E49" s="742"/>
    </row>
    <row r="50" spans="3:5">
      <c r="C50" s="739" t="s">
        <v>220</v>
      </c>
      <c r="D50" s="417">
        <v>60</v>
      </c>
      <c r="E50" s="742"/>
    </row>
    <row r="51" spans="3:5">
      <c r="C51" s="739" t="s">
        <v>221</v>
      </c>
      <c r="D51" s="417">
        <v>40</v>
      </c>
      <c r="E51" s="742"/>
    </row>
    <row r="52" spans="3:5">
      <c r="C52" s="739" t="s">
        <v>222</v>
      </c>
      <c r="D52" s="417">
        <v>180</v>
      </c>
      <c r="E52" s="742"/>
    </row>
    <row r="53" spans="3:5">
      <c r="C53" s="739" t="s">
        <v>223</v>
      </c>
      <c r="D53" s="417">
        <v>1000</v>
      </c>
      <c r="E53" s="742"/>
    </row>
    <row r="54" spans="3:5">
      <c r="C54" s="739" t="s">
        <v>224</v>
      </c>
      <c r="D54" s="417">
        <v>1000</v>
      </c>
      <c r="E54" s="742"/>
    </row>
    <row r="55" spans="3:5">
      <c r="D55" s="745"/>
      <c r="E55" s="746"/>
    </row>
    <row r="56" spans="3:5">
      <c r="C56" s="743" t="s">
        <v>2252</v>
      </c>
      <c r="D56" s="744" t="s">
        <v>2253</v>
      </c>
      <c r="E56" s="746"/>
    </row>
    <row r="57" spans="3:5">
      <c r="C57" s="739" t="s">
        <v>23</v>
      </c>
      <c r="D57" s="417">
        <v>63.719544596164354</v>
      </c>
      <c r="E57" s="746"/>
    </row>
    <row r="58" spans="3:5">
      <c r="C58" s="739" t="s">
        <v>25</v>
      </c>
      <c r="D58" s="417">
        <v>105</v>
      </c>
      <c r="E58" s="746"/>
    </row>
    <row r="59" spans="3:5">
      <c r="C59" s="739" t="s">
        <v>26</v>
      </c>
      <c r="D59" s="417">
        <v>91</v>
      </c>
      <c r="E59" s="746"/>
    </row>
    <row r="60" spans="3:5">
      <c r="C60" s="739" t="s">
        <v>27</v>
      </c>
      <c r="D60" s="417">
        <v>0</v>
      </c>
      <c r="E60" s="746"/>
    </row>
    <row r="61" spans="3:5">
      <c r="C61" s="739" t="s">
        <v>28</v>
      </c>
      <c r="D61" s="417">
        <v>0</v>
      </c>
      <c r="E61" s="746"/>
    </row>
    <row r="62" spans="3:5">
      <c r="C62" s="739" t="s">
        <v>29</v>
      </c>
      <c r="D62" s="417">
        <v>0</v>
      </c>
      <c r="E62" s="746"/>
    </row>
    <row r="63" spans="3:5">
      <c r="C63" s="739" t="s">
        <v>30</v>
      </c>
      <c r="D63" s="417">
        <v>0</v>
      </c>
      <c r="E63" s="746"/>
    </row>
    <row r="64" spans="3:5">
      <c r="C64" s="739" t="s">
        <v>31</v>
      </c>
      <c r="D64" s="417">
        <v>0</v>
      </c>
      <c r="E64" s="746"/>
    </row>
    <row r="65" spans="3:5">
      <c r="C65" s="739" t="s">
        <v>32</v>
      </c>
      <c r="D65" s="417">
        <v>0</v>
      </c>
      <c r="E65" s="746"/>
    </row>
    <row r="66" spans="3:5">
      <c r="C66" s="739" t="s">
        <v>33</v>
      </c>
      <c r="D66" s="417">
        <v>65</v>
      </c>
      <c r="E66" s="746"/>
    </row>
    <row r="67" spans="3:5">
      <c r="C67" s="739" t="s">
        <v>34</v>
      </c>
      <c r="D67" s="417">
        <v>0</v>
      </c>
      <c r="E67" s="746"/>
    </row>
    <row r="68" spans="3:5">
      <c r="C68" s="739" t="s">
        <v>35</v>
      </c>
      <c r="D68" s="417">
        <v>0</v>
      </c>
      <c r="E68" s="746"/>
    </row>
    <row r="69" spans="3:5">
      <c r="C69" s="739" t="s">
        <v>36</v>
      </c>
      <c r="D69" s="417">
        <v>180</v>
      </c>
      <c r="E69" s="746"/>
    </row>
    <row r="70" spans="3:5">
      <c r="C70" s="739" t="s">
        <v>37</v>
      </c>
      <c r="D70" s="417">
        <v>185</v>
      </c>
      <c r="E70" s="746"/>
    </row>
    <row r="71" spans="3:5">
      <c r="C71" s="739" t="s">
        <v>38</v>
      </c>
      <c r="D71" s="417">
        <v>179</v>
      </c>
      <c r="E71" s="746"/>
    </row>
    <row r="72" spans="3:5">
      <c r="C72" s="739" t="s">
        <v>39</v>
      </c>
      <c r="D72" s="417">
        <v>180</v>
      </c>
      <c r="E72" s="746"/>
    </row>
    <row r="73" spans="3:5">
      <c r="C73" s="739" t="s">
        <v>40</v>
      </c>
      <c r="D73" s="417">
        <v>135</v>
      </c>
      <c r="E73" s="746"/>
    </row>
    <row r="74" spans="3:5">
      <c r="C74" s="739" t="s">
        <v>41</v>
      </c>
      <c r="D74" s="417">
        <v>124</v>
      </c>
      <c r="E74" s="746"/>
    </row>
    <row r="75" spans="3:5">
      <c r="C75" s="739" t="s">
        <v>42</v>
      </c>
      <c r="D75" s="417">
        <v>180</v>
      </c>
      <c r="E75" s="746"/>
    </row>
    <row r="76" spans="3:5">
      <c r="C76" s="739" t="s">
        <v>43</v>
      </c>
      <c r="D76" s="417">
        <v>135</v>
      </c>
      <c r="E76" s="746"/>
    </row>
    <row r="77" spans="3:5">
      <c r="C77" s="739" t="s">
        <v>44</v>
      </c>
      <c r="D77" s="417">
        <v>124</v>
      </c>
      <c r="E77" s="746"/>
    </row>
    <row r="78" spans="3:5">
      <c r="C78" s="739" t="s">
        <v>45</v>
      </c>
      <c r="D78" s="417">
        <v>0</v>
      </c>
      <c r="E78" s="746"/>
    </row>
    <row r="79" spans="3:5">
      <c r="C79" s="739" t="s">
        <v>46</v>
      </c>
      <c r="D79" s="417">
        <v>0</v>
      </c>
      <c r="E79" s="746"/>
    </row>
    <row r="80" spans="3:5">
      <c r="C80" s="739" t="s">
        <v>47</v>
      </c>
      <c r="D80" s="417">
        <v>0</v>
      </c>
      <c r="E80" s="746"/>
    </row>
    <row r="81" spans="3:5">
      <c r="C81" s="739" t="s">
        <v>48</v>
      </c>
      <c r="D81" s="417">
        <v>180</v>
      </c>
      <c r="E81" s="746"/>
    </row>
    <row r="82" spans="3:5">
      <c r="C82" s="739" t="s">
        <v>49</v>
      </c>
      <c r="D82" s="417">
        <v>135</v>
      </c>
      <c r="E82" s="746"/>
    </row>
    <row r="83" spans="3:5">
      <c r="C83" s="739" t="s">
        <v>50</v>
      </c>
      <c r="D83" s="417">
        <v>124</v>
      </c>
      <c r="E83" s="746"/>
    </row>
    <row r="84" spans="3:5">
      <c r="C84" s="739" t="s">
        <v>51</v>
      </c>
      <c r="D84" s="417">
        <v>63.719544596164354</v>
      </c>
      <c r="E84" s="746"/>
    </row>
    <row r="85" spans="3:5">
      <c r="C85" s="739" t="s">
        <v>52</v>
      </c>
      <c r="D85" s="417">
        <v>105</v>
      </c>
      <c r="E85" s="746"/>
    </row>
    <row r="86" spans="3:5">
      <c r="C86" s="739" t="s">
        <v>53</v>
      </c>
      <c r="D86" s="417">
        <v>91</v>
      </c>
      <c r="E86" s="746"/>
    </row>
    <row r="87" spans="3:5">
      <c r="C87" s="739" t="s">
        <v>54</v>
      </c>
      <c r="D87" s="417">
        <v>63.719544596164354</v>
      </c>
      <c r="E87" s="746"/>
    </row>
    <row r="88" spans="3:5">
      <c r="C88" s="739" t="s">
        <v>55</v>
      </c>
      <c r="D88" s="417">
        <v>105</v>
      </c>
      <c r="E88" s="746"/>
    </row>
    <row r="89" spans="3:5">
      <c r="C89" s="739" t="s">
        <v>56</v>
      </c>
      <c r="D89" s="417">
        <v>91</v>
      </c>
      <c r="E89" s="746"/>
    </row>
    <row r="90" spans="3:5">
      <c r="C90" s="739" t="s">
        <v>57</v>
      </c>
      <c r="D90" s="417">
        <v>180</v>
      </c>
      <c r="E90" s="746"/>
    </row>
    <row r="91" spans="3:5">
      <c r="C91" s="739" t="s">
        <v>58</v>
      </c>
      <c r="D91" s="417">
        <v>135</v>
      </c>
      <c r="E91" s="746"/>
    </row>
    <row r="92" spans="3:5">
      <c r="C92" s="739" t="s">
        <v>59</v>
      </c>
      <c r="D92" s="417">
        <v>124</v>
      </c>
      <c r="E92" s="746"/>
    </row>
    <row r="93" spans="3:5">
      <c r="C93" s="739" t="s">
        <v>64</v>
      </c>
      <c r="D93" s="417">
        <v>100.43276636952</v>
      </c>
      <c r="E93" s="746"/>
    </row>
    <row r="94" spans="3:5">
      <c r="C94" s="739" t="s">
        <v>65</v>
      </c>
      <c r="D94" s="417">
        <v>85</v>
      </c>
      <c r="E94" s="746"/>
    </row>
    <row r="95" spans="3:5">
      <c r="C95" s="739" t="s">
        <v>66</v>
      </c>
      <c r="D95" s="417">
        <v>85</v>
      </c>
    </row>
    <row r="96" spans="3:5">
      <c r="C96" s="739" t="s">
        <v>67</v>
      </c>
      <c r="D96" s="417">
        <v>0</v>
      </c>
    </row>
    <row r="97" spans="3:4">
      <c r="C97" s="743" t="s">
        <v>182</v>
      </c>
      <c r="D97" s="744" t="s">
        <v>93</v>
      </c>
    </row>
    <row r="98" spans="3:4">
      <c r="C98" s="739" t="s">
        <v>2254</v>
      </c>
      <c r="D98" s="417">
        <v>271.68468641694011</v>
      </c>
    </row>
    <row r="100" spans="3:4">
      <c r="C100" s="743" t="s">
        <v>2255</v>
      </c>
      <c r="D100" s="744" t="s">
        <v>182</v>
      </c>
    </row>
    <row r="101" spans="3:4">
      <c r="C101" s="739" t="s">
        <v>1968</v>
      </c>
      <c r="D101" s="417">
        <v>3030.50607923186</v>
      </c>
    </row>
    <row r="102" spans="3:4">
      <c r="C102" s="739" t="s">
        <v>1969</v>
      </c>
      <c r="D102" s="417">
        <v>5865.5572538609558</v>
      </c>
    </row>
    <row r="103" spans="3:4">
      <c r="C103" s="739" t="s">
        <v>2624</v>
      </c>
      <c r="D103" s="417">
        <v>6481.102649142761</v>
      </c>
    </row>
    <row r="104" spans="3:4">
      <c r="C104" s="739" t="s">
        <v>2625</v>
      </c>
      <c r="D104" s="417">
        <v>13976.081573846101</v>
      </c>
    </row>
    <row r="105" spans="3:4">
      <c r="C105" s="739" t="s">
        <v>2626</v>
      </c>
      <c r="D105" s="417">
        <v>21608.791505702786</v>
      </c>
    </row>
    <row r="106" spans="3:4">
      <c r="C106" s="739" t="s">
        <v>2627</v>
      </c>
      <c r="D106" s="417">
        <v>24739.086855535435</v>
      </c>
    </row>
    <row r="107" spans="3:4">
      <c r="C107" s="739" t="s">
        <v>2628</v>
      </c>
      <c r="D107" s="417">
        <v>28659.094537878042</v>
      </c>
    </row>
    <row r="108" spans="3:4">
      <c r="C108" s="739" t="s">
        <v>2629</v>
      </c>
      <c r="D108" s="417">
        <v>38587.758372446813</v>
      </c>
    </row>
    <row r="109" spans="3:4">
      <c r="C109" s="739" t="s">
        <v>2630</v>
      </c>
      <c r="D109" s="417">
        <v>13175.482515127245</v>
      </c>
    </row>
    <row r="110" spans="3:4">
      <c r="C110" s="739" t="s">
        <v>2631</v>
      </c>
      <c r="D110" s="417">
        <v>19102.757692793886</v>
      </c>
    </row>
    <row r="111" spans="3:4">
      <c r="C111" s="739" t="s">
        <v>1970</v>
      </c>
      <c r="D111" s="417">
        <v>23442.02759656269</v>
      </c>
    </row>
    <row r="112" spans="3:4">
      <c r="C112" s="739" t="s">
        <v>2632</v>
      </c>
      <c r="D112" s="417">
        <v>1392.5910802220162</v>
      </c>
    </row>
    <row r="113" spans="3:4">
      <c r="C113" s="739" t="s">
        <v>2633</v>
      </c>
      <c r="D113" s="417">
        <v>1506.7209084856615</v>
      </c>
    </row>
    <row r="114" spans="3:4">
      <c r="C114" s="739" t="s">
        <v>2634</v>
      </c>
      <c r="D114" s="417">
        <v>1634.387519167997</v>
      </c>
    </row>
    <row r="115" spans="3:4">
      <c r="C115" s="739" t="s">
        <v>2635</v>
      </c>
      <c r="D115" s="417">
        <v>1847.0025288872246</v>
      </c>
    </row>
    <row r="116" spans="3:4">
      <c r="C116" s="739" t="s">
        <v>2636</v>
      </c>
      <c r="D116" s="417">
        <v>1917.6315847134188</v>
      </c>
    </row>
    <row r="117" spans="3:4">
      <c r="C117" s="739" t="s">
        <v>2637</v>
      </c>
      <c r="D117" s="417">
        <v>2122.3180286211987</v>
      </c>
    </row>
    <row r="118" spans="3:4">
      <c r="C118" s="739" t="s">
        <v>2638</v>
      </c>
      <c r="D118" s="417">
        <v>2282.5074195055486</v>
      </c>
    </row>
    <row r="119" spans="3:4">
      <c r="C119" s="739" t="s">
        <v>2639</v>
      </c>
      <c r="D119" s="417">
        <v>2335.9038831336647</v>
      </c>
    </row>
    <row r="120" spans="3:4">
      <c r="C120" s="739" t="s">
        <v>2640</v>
      </c>
      <c r="D120" s="417">
        <v>2549.4897376461308</v>
      </c>
    </row>
    <row r="121" spans="3:4">
      <c r="C121" s="739" t="s">
        <v>2641</v>
      </c>
      <c r="D121" s="417">
        <v>2653.1122286992363</v>
      </c>
    </row>
    <row r="122" spans="3:4">
      <c r="C122" s="739" t="s">
        <v>2642</v>
      </c>
      <c r="D122" s="417">
        <v>2855.2421146514889</v>
      </c>
    </row>
    <row r="123" spans="3:4">
      <c r="C123" s="739" t="s">
        <v>2643</v>
      </c>
      <c r="D123" s="417">
        <v>5033.5089489912616</v>
      </c>
    </row>
    <row r="124" spans="3:4">
      <c r="C124" s="739" t="s">
        <v>154</v>
      </c>
      <c r="D124" s="417">
        <v>6361.7169861420043</v>
      </c>
    </row>
    <row r="125" spans="3:4">
      <c r="C125" s="739" t="s">
        <v>2644</v>
      </c>
      <c r="D125" s="417">
        <v>7887.3179777047944</v>
      </c>
    </row>
    <row r="126" spans="3:4">
      <c r="C126" s="739" t="s">
        <v>2645</v>
      </c>
      <c r="D126" s="417">
        <v>11733.126506088049</v>
      </c>
    </row>
    <row r="127" spans="3:4">
      <c r="C127" s="739" t="s">
        <v>2646</v>
      </c>
      <c r="D127" s="417">
        <v>16420.06905489269</v>
      </c>
    </row>
    <row r="128" spans="3:4">
      <c r="C128" s="739" t="s">
        <v>2647</v>
      </c>
      <c r="D128" s="417">
        <v>23031.099576222729</v>
      </c>
    </row>
    <row r="129" spans="3:4">
      <c r="C129" s="739" t="s">
        <v>2648</v>
      </c>
      <c r="D129" s="417">
        <v>29676.737664114116</v>
      </c>
    </row>
    <row r="130" spans="3:4">
      <c r="C130" s="739" t="s">
        <v>2649</v>
      </c>
      <c r="D130" s="417">
        <v>37677.29508255668</v>
      </c>
    </row>
    <row r="131" spans="3:4">
      <c r="C131" s="739" t="s">
        <v>2650</v>
      </c>
      <c r="D131" s="417">
        <v>45065.535632496736</v>
      </c>
    </row>
    <row r="132" spans="3:4">
      <c r="C132" s="739" t="s">
        <v>2651</v>
      </c>
      <c r="D132" s="417">
        <v>52377.107699026703</v>
      </c>
    </row>
    <row r="133" spans="3:4">
      <c r="C133" s="739" t="s">
        <v>2652</v>
      </c>
      <c r="D133" s="417">
        <v>16194.767315026074</v>
      </c>
    </row>
    <row r="134" spans="3:4">
      <c r="C134" s="739" t="s">
        <v>2653</v>
      </c>
      <c r="D134" s="417">
        <v>20991.691212316535</v>
      </c>
    </row>
    <row r="135" spans="3:4">
      <c r="C135" s="739" t="s">
        <v>2654</v>
      </c>
      <c r="D135" s="417">
        <v>33305.031288593949</v>
      </c>
    </row>
    <row r="136" spans="3:4">
      <c r="C136" s="739" t="s">
        <v>2655</v>
      </c>
      <c r="D136" s="417">
        <v>42944.557541321912</v>
      </c>
    </row>
    <row r="137" spans="3:4">
      <c r="C137" s="739" t="s">
        <v>2656</v>
      </c>
      <c r="D137" s="417">
        <v>53399.827057057017</v>
      </c>
    </row>
    <row r="138" spans="3:4">
      <c r="C138" s="739" t="s">
        <v>2657</v>
      </c>
      <c r="D138" s="417">
        <v>71989.773227964863</v>
      </c>
    </row>
    <row r="139" spans="3:4">
      <c r="C139" s="739" t="s">
        <v>2658</v>
      </c>
      <c r="D139" s="417">
        <v>86068.567425192625</v>
      </c>
    </row>
    <row r="140" spans="3:4">
      <c r="C140" s="739" t="s">
        <v>2659</v>
      </c>
      <c r="D140" s="417">
        <v>125535.85535533386</v>
      </c>
    </row>
    <row r="141" spans="3:4">
      <c r="C141" s="739" t="s">
        <v>2660</v>
      </c>
      <c r="D141" s="417">
        <v>178567.55028451674</v>
      </c>
    </row>
    <row r="142" spans="3:4">
      <c r="C142" s="739" t="s">
        <v>2661</v>
      </c>
      <c r="D142" s="417">
        <v>210284.11348642068</v>
      </c>
    </row>
    <row r="143" spans="3:4">
      <c r="C143" s="739" t="s">
        <v>2662</v>
      </c>
      <c r="D143" s="417">
        <v>546.92412823241</v>
      </c>
    </row>
    <row r="144" spans="3:4">
      <c r="C144" s="739" t="s">
        <v>2663</v>
      </c>
      <c r="D144" s="417">
        <v>547.82634832819974</v>
      </c>
    </row>
    <row r="145" spans="3:6">
      <c r="C145" s="739" t="s">
        <v>2664</v>
      </c>
      <c r="D145" s="417">
        <v>549.21026571596269</v>
      </c>
    </row>
    <row r="146" spans="3:6">
      <c r="C146" s="739" t="s">
        <v>2665</v>
      </c>
      <c r="D146" s="417">
        <v>550.21091011200508</v>
      </c>
    </row>
    <row r="147" spans="3:6">
      <c r="C147" s="739" t="s">
        <v>2666</v>
      </c>
      <c r="D147" s="417">
        <v>666.93894056298029</v>
      </c>
    </row>
    <row r="148" spans="3:6">
      <c r="C148" s="739" t="s">
        <v>2667</v>
      </c>
      <c r="D148" s="417">
        <v>668.83576411395472</v>
      </c>
    </row>
    <row r="149" spans="3:6">
      <c r="F149" s="742"/>
    </row>
    <row r="150" spans="3:6">
      <c r="C150" s="743" t="s">
        <v>2256</v>
      </c>
      <c r="D150" s="744" t="s">
        <v>249</v>
      </c>
      <c r="E150" s="744" t="s">
        <v>1</v>
      </c>
    </row>
    <row r="151" spans="3:6">
      <c r="C151" s="739" t="s">
        <v>73</v>
      </c>
      <c r="D151" s="417">
        <v>431.16750536680615</v>
      </c>
      <c r="E151" s="475" t="s">
        <v>2257</v>
      </c>
    </row>
    <row r="152" spans="3:6">
      <c r="C152" s="739" t="s">
        <v>1933</v>
      </c>
      <c r="D152" s="417">
        <v>23.087199820666662</v>
      </c>
      <c r="E152" s="477" t="s">
        <v>79</v>
      </c>
    </row>
    <row r="153" spans="3:6">
      <c r="C153" s="739" t="s">
        <v>1932</v>
      </c>
      <c r="D153" s="417">
        <v>1013.5890272564333</v>
      </c>
      <c r="E153" s="475" t="s">
        <v>17</v>
      </c>
      <c r="F153" s="214" t="s">
        <v>2258</v>
      </c>
    </row>
    <row r="154" spans="3:6">
      <c r="C154" s="739" t="s">
        <v>241</v>
      </c>
      <c r="D154" s="417">
        <v>4832.5772829736798</v>
      </c>
      <c r="E154" s="475" t="s">
        <v>17</v>
      </c>
      <c r="F154" s="214" t="s">
        <v>2259</v>
      </c>
    </row>
    <row r="155" spans="3:6">
      <c r="C155" s="739" t="s">
        <v>2260</v>
      </c>
      <c r="D155" s="417">
        <v>25090.427775912354</v>
      </c>
      <c r="E155" s="475" t="s">
        <v>17</v>
      </c>
      <c r="F155" s="214"/>
    </row>
    <row r="156" spans="3:6">
      <c r="C156" s="739" t="s">
        <v>2261</v>
      </c>
      <c r="D156" s="417">
        <v>27445.299649908924</v>
      </c>
      <c r="E156" s="475" t="s">
        <v>17</v>
      </c>
      <c r="F156" s="214"/>
    </row>
    <row r="157" spans="3:6">
      <c r="D157" s="112"/>
    </row>
    <row r="158" spans="3:6">
      <c r="C158" s="743" t="s">
        <v>2262</v>
      </c>
      <c r="D158" s="744" t="s">
        <v>249</v>
      </c>
      <c r="E158" s="744" t="s">
        <v>1</v>
      </c>
    </row>
    <row r="159" spans="3:6">
      <c r="C159" s="739" t="s">
        <v>2263</v>
      </c>
      <c r="D159" s="417">
        <v>35075.581888424982</v>
      </c>
      <c r="E159" s="477" t="s">
        <v>159</v>
      </c>
    </row>
    <row r="160" spans="3:6">
      <c r="C160" s="739" t="s">
        <v>2264</v>
      </c>
      <c r="D160" s="417">
        <v>3920.7764895466953</v>
      </c>
      <c r="E160" s="477" t="s">
        <v>119</v>
      </c>
    </row>
    <row r="162" spans="1:15">
      <c r="C162" s="743" t="s">
        <v>2152</v>
      </c>
      <c r="D162" s="744" t="s">
        <v>249</v>
      </c>
      <c r="E162" s="744" t="s">
        <v>1</v>
      </c>
    </row>
    <row r="163" spans="1:15">
      <c r="C163" s="739" t="s">
        <v>2265</v>
      </c>
      <c r="D163" s="417">
        <v>5852.5683548844463</v>
      </c>
      <c r="E163" s="477" t="s">
        <v>119</v>
      </c>
    </row>
    <row r="164" spans="1:15">
      <c r="C164" s="739" t="s">
        <v>2266</v>
      </c>
      <c r="D164" s="417">
        <v>1555.9705592014548</v>
      </c>
      <c r="E164" s="477" t="s">
        <v>119</v>
      </c>
    </row>
    <row r="166" spans="1:15" ht="38.25">
      <c r="C166" s="743" t="s">
        <v>2267</v>
      </c>
      <c r="D166" s="747" t="s">
        <v>2668</v>
      </c>
      <c r="E166" s="747" t="s">
        <v>2669</v>
      </c>
      <c r="F166" s="747" t="s">
        <v>2670</v>
      </c>
      <c r="G166" s="747" t="s">
        <v>2671</v>
      </c>
      <c r="H166" s="747" t="s">
        <v>2672</v>
      </c>
      <c r="I166" s="747" t="s">
        <v>2673</v>
      </c>
      <c r="J166" s="747" t="s">
        <v>2674</v>
      </c>
      <c r="K166" s="747" t="s">
        <v>2675</v>
      </c>
      <c r="L166" s="747" t="s">
        <v>2676</v>
      </c>
      <c r="M166" s="747" t="s">
        <v>2677</v>
      </c>
      <c r="N166" s="747" t="s">
        <v>2678</v>
      </c>
      <c r="O166" s="747" t="s">
        <v>2679</v>
      </c>
    </row>
    <row r="167" spans="1:15">
      <c r="C167" s="739" t="s">
        <v>187</v>
      </c>
      <c r="D167" s="417">
        <v>72862.066165017153</v>
      </c>
      <c r="E167" s="417">
        <v>75403.066165017153</v>
      </c>
      <c r="F167" s="417">
        <v>69085.16676520383</v>
      </c>
      <c r="G167" s="417">
        <v>64367.295719381174</v>
      </c>
      <c r="H167" s="417">
        <v>66908.295719381174</v>
      </c>
      <c r="I167" s="417">
        <v>60590.396319567852</v>
      </c>
      <c r="J167" s="417">
        <v>64762.771970648268</v>
      </c>
      <c r="K167" s="417">
        <v>67303.771970648275</v>
      </c>
      <c r="L167" s="417">
        <v>60985.872570834945</v>
      </c>
      <c r="M167" s="417">
        <v>55872.525273745188</v>
      </c>
      <c r="N167" s="417">
        <v>58413.525273745188</v>
      </c>
      <c r="O167" s="417">
        <v>52095.625873931865</v>
      </c>
    </row>
    <row r="168" spans="1:15">
      <c r="C168" s="739" t="s">
        <v>188</v>
      </c>
      <c r="D168" s="417">
        <v>62953.217957727087</v>
      </c>
      <c r="E168" s="417">
        <v>65494.217957727087</v>
      </c>
      <c r="F168" s="417">
        <v>57054.91915810042</v>
      </c>
      <c r="G168" s="417">
        <v>54626.211959696593</v>
      </c>
      <c r="H168" s="417">
        <v>57167.211959696593</v>
      </c>
      <c r="I168" s="417">
        <v>48727.913160069933</v>
      </c>
      <c r="J168" s="417">
        <v>55189.452658569193</v>
      </c>
      <c r="K168" s="417">
        <v>57730.452658569186</v>
      </c>
      <c r="L168" s="417">
        <v>49291.153858942518</v>
      </c>
      <c r="M168" s="417">
        <v>46299.205961666099</v>
      </c>
      <c r="N168" s="417">
        <v>48840.205961666106</v>
      </c>
      <c r="O168" s="417">
        <v>40400.907162039439</v>
      </c>
    </row>
    <row r="169" spans="1:15">
      <c r="C169" s="739" t="s">
        <v>189</v>
      </c>
      <c r="D169" s="417">
        <v>55670.121625581545</v>
      </c>
      <c r="E169" s="417">
        <v>58211.121625581545</v>
      </c>
      <c r="F169" s="417">
        <v>49771.822825954878</v>
      </c>
      <c r="G169" s="417">
        <v>47510.880075156543</v>
      </c>
      <c r="H169" s="417">
        <v>50051.880075156543</v>
      </c>
      <c r="I169" s="417">
        <v>41612.581275529883</v>
      </c>
      <c r="J169" s="417">
        <v>48241.885221634635</v>
      </c>
      <c r="K169" s="417">
        <v>50782.885221634635</v>
      </c>
      <c r="L169" s="417">
        <v>42343.58642200796</v>
      </c>
      <c r="M169" s="417">
        <v>39351.638524731541</v>
      </c>
      <c r="N169" s="417">
        <v>41892.638524731541</v>
      </c>
      <c r="O169" s="417">
        <v>33453.339725104881</v>
      </c>
    </row>
    <row r="170" spans="1:15">
      <c r="C170" s="739" t="s">
        <v>190</v>
      </c>
      <c r="D170" s="417">
        <v>43923.259841744548</v>
      </c>
      <c r="E170" s="417">
        <v>46464.259841744541</v>
      </c>
      <c r="F170" s="417">
        <v>38024.96104211788</v>
      </c>
      <c r="G170" s="417">
        <v>37114.831314101451</v>
      </c>
      <c r="H170" s="417">
        <v>39655.831314101444</v>
      </c>
      <c r="I170" s="417">
        <v>31216.53251447478</v>
      </c>
      <c r="J170" s="417">
        <v>39196.649483361427</v>
      </c>
      <c r="K170" s="417">
        <v>41737.649483361427</v>
      </c>
      <c r="L170" s="417">
        <v>33298.35068373476</v>
      </c>
      <c r="M170" s="417">
        <v>30306.402786458351</v>
      </c>
      <c r="N170" s="417">
        <v>32847.402786458348</v>
      </c>
      <c r="O170" s="417">
        <v>24408.10398683168</v>
      </c>
    </row>
    <row r="172" spans="1:15">
      <c r="C172" s="743" t="s">
        <v>1992</v>
      </c>
      <c r="D172" s="747" t="s">
        <v>84</v>
      </c>
    </row>
    <row r="173" spans="1:15">
      <c r="A173" s="448"/>
      <c r="B173" s="448"/>
      <c r="C173" s="739" t="s">
        <v>2680</v>
      </c>
      <c r="D173" s="417">
        <v>72862.066165017153</v>
      </c>
    </row>
    <row r="174" spans="1:15">
      <c r="A174" s="448"/>
      <c r="B174" s="448"/>
      <c r="C174" s="739" t="s">
        <v>2681</v>
      </c>
      <c r="D174" s="417">
        <v>75403.066165017153</v>
      </c>
    </row>
    <row r="175" spans="1:15">
      <c r="A175" s="448"/>
      <c r="B175" s="448"/>
      <c r="C175" s="739" t="s">
        <v>2682</v>
      </c>
      <c r="D175" s="417">
        <v>69085.16676520383</v>
      </c>
    </row>
    <row r="176" spans="1:15">
      <c r="A176" s="448"/>
      <c r="B176" s="448"/>
      <c r="C176" s="739" t="s">
        <v>2683</v>
      </c>
      <c r="D176" s="417">
        <v>64367.295719381174</v>
      </c>
    </row>
    <row r="177" spans="1:4">
      <c r="A177" s="448"/>
      <c r="B177" s="448"/>
      <c r="C177" s="739" t="s">
        <v>2684</v>
      </c>
      <c r="D177" s="417">
        <v>66908.295719381174</v>
      </c>
    </row>
    <row r="178" spans="1:4">
      <c r="A178" s="448"/>
      <c r="B178" s="448"/>
      <c r="C178" s="739" t="s">
        <v>2685</v>
      </c>
      <c r="D178" s="417">
        <v>60590.396319567852</v>
      </c>
    </row>
    <row r="179" spans="1:4">
      <c r="A179" s="448"/>
      <c r="B179" s="448"/>
      <c r="C179" s="739" t="s">
        <v>2686</v>
      </c>
      <c r="D179" s="417">
        <v>64762.771970648268</v>
      </c>
    </row>
    <row r="180" spans="1:4">
      <c r="A180" s="448"/>
      <c r="B180" s="448"/>
      <c r="C180" s="739" t="s">
        <v>2687</v>
      </c>
      <c r="D180" s="417">
        <v>67303.771970648275</v>
      </c>
    </row>
    <row r="181" spans="1:4">
      <c r="A181" s="448"/>
      <c r="B181" s="448"/>
      <c r="C181" s="739" t="s">
        <v>2688</v>
      </c>
      <c r="D181" s="417">
        <v>60985.872570834945</v>
      </c>
    </row>
    <row r="182" spans="1:4">
      <c r="A182" s="448"/>
      <c r="B182" s="448"/>
      <c r="C182" s="739" t="s">
        <v>2689</v>
      </c>
      <c r="D182" s="417">
        <v>55872.525273745188</v>
      </c>
    </row>
    <row r="183" spans="1:4">
      <c r="A183" s="448"/>
      <c r="B183" s="448"/>
      <c r="C183" s="739" t="s">
        <v>2690</v>
      </c>
      <c r="D183" s="417">
        <v>58413.525273745188</v>
      </c>
    </row>
    <row r="184" spans="1:4">
      <c r="A184" s="448"/>
      <c r="B184" s="448"/>
      <c r="C184" s="739" t="s">
        <v>2691</v>
      </c>
      <c r="D184" s="417">
        <v>52095.625873931865</v>
      </c>
    </row>
    <row r="185" spans="1:4">
      <c r="A185" s="448"/>
      <c r="B185" s="448"/>
      <c r="C185" s="739" t="s">
        <v>2692</v>
      </c>
      <c r="D185" s="417">
        <v>62953.217957727087</v>
      </c>
    </row>
    <row r="186" spans="1:4">
      <c r="A186" s="448"/>
      <c r="B186" s="448"/>
      <c r="C186" s="739" t="s">
        <v>2693</v>
      </c>
      <c r="D186" s="417">
        <v>65494.217957727087</v>
      </c>
    </row>
    <row r="187" spans="1:4">
      <c r="A187" s="448"/>
      <c r="B187" s="448"/>
      <c r="C187" s="739" t="s">
        <v>2694</v>
      </c>
      <c r="D187" s="417">
        <v>57054.91915810042</v>
      </c>
    </row>
    <row r="188" spans="1:4">
      <c r="A188" s="448"/>
      <c r="B188" s="448"/>
      <c r="C188" s="739" t="s">
        <v>2695</v>
      </c>
      <c r="D188" s="417">
        <v>54626.211959696593</v>
      </c>
    </row>
    <row r="189" spans="1:4">
      <c r="A189" s="448"/>
      <c r="B189" s="448"/>
      <c r="C189" s="739" t="s">
        <v>2696</v>
      </c>
      <c r="D189" s="417">
        <v>57167.211959696593</v>
      </c>
    </row>
    <row r="190" spans="1:4">
      <c r="A190" s="448"/>
      <c r="B190" s="448"/>
      <c r="C190" s="739" t="s">
        <v>2697</v>
      </c>
      <c r="D190" s="417">
        <v>48727.913160069933</v>
      </c>
    </row>
    <row r="191" spans="1:4">
      <c r="A191" s="448"/>
      <c r="B191" s="448"/>
      <c r="C191" s="739" t="s">
        <v>2698</v>
      </c>
      <c r="D191" s="417">
        <v>55189.452658569193</v>
      </c>
    </row>
    <row r="192" spans="1:4">
      <c r="A192" s="448"/>
      <c r="B192" s="448"/>
      <c r="C192" s="739" t="s">
        <v>2699</v>
      </c>
      <c r="D192" s="417">
        <v>57730.452658569186</v>
      </c>
    </row>
    <row r="193" spans="1:4">
      <c r="C193" s="739" t="s">
        <v>2700</v>
      </c>
      <c r="D193" s="417">
        <v>49291.153858942518</v>
      </c>
    </row>
    <row r="194" spans="1:4">
      <c r="C194" s="739" t="s">
        <v>2701</v>
      </c>
      <c r="D194" s="417">
        <v>46299.205961666099</v>
      </c>
    </row>
    <row r="195" spans="1:4">
      <c r="C195" s="739" t="s">
        <v>2702</v>
      </c>
      <c r="D195" s="417">
        <v>48840.205961666106</v>
      </c>
    </row>
    <row r="196" spans="1:4">
      <c r="C196" s="739" t="s">
        <v>2703</v>
      </c>
      <c r="D196" s="417">
        <v>40400.907162039439</v>
      </c>
    </row>
    <row r="197" spans="1:4">
      <c r="C197" s="739" t="s">
        <v>2704</v>
      </c>
      <c r="D197" s="417">
        <v>55670.121625581545</v>
      </c>
    </row>
    <row r="198" spans="1:4">
      <c r="C198" s="739" t="s">
        <v>2705</v>
      </c>
      <c r="D198" s="417">
        <v>58211.121625581545</v>
      </c>
    </row>
    <row r="199" spans="1:4">
      <c r="C199" s="739" t="s">
        <v>2706</v>
      </c>
      <c r="D199" s="417">
        <v>49771.822825954878</v>
      </c>
    </row>
    <row r="200" spans="1:4">
      <c r="A200" s="448"/>
      <c r="B200" s="448"/>
      <c r="C200" s="739" t="s">
        <v>2707</v>
      </c>
      <c r="D200" s="417">
        <v>47510.880075156543</v>
      </c>
    </row>
    <row r="201" spans="1:4">
      <c r="A201" s="448"/>
      <c r="B201" s="448"/>
      <c r="C201" s="739" t="s">
        <v>2708</v>
      </c>
      <c r="D201" s="417">
        <v>50051.880075156543</v>
      </c>
    </row>
    <row r="202" spans="1:4">
      <c r="A202" s="448"/>
      <c r="B202" s="448"/>
      <c r="C202" s="739" t="s">
        <v>2709</v>
      </c>
      <c r="D202" s="417">
        <v>41612.581275529883</v>
      </c>
    </row>
    <row r="203" spans="1:4">
      <c r="C203" s="739" t="s">
        <v>2710</v>
      </c>
      <c r="D203" s="417">
        <v>48241.885221634635</v>
      </c>
    </row>
    <row r="204" spans="1:4">
      <c r="C204" s="739" t="s">
        <v>2711</v>
      </c>
      <c r="D204" s="417">
        <v>50782.885221634635</v>
      </c>
    </row>
    <row r="205" spans="1:4">
      <c r="C205" s="739" t="s">
        <v>2712</v>
      </c>
      <c r="D205" s="417">
        <v>42343.58642200796</v>
      </c>
    </row>
    <row r="206" spans="1:4">
      <c r="C206" s="739" t="s">
        <v>2713</v>
      </c>
      <c r="D206" s="417">
        <v>39351.638524731541</v>
      </c>
    </row>
    <row r="207" spans="1:4">
      <c r="C207" s="739" t="s">
        <v>2714</v>
      </c>
      <c r="D207" s="417">
        <v>41892.638524731541</v>
      </c>
    </row>
    <row r="208" spans="1:4">
      <c r="C208" s="739" t="s">
        <v>2715</v>
      </c>
      <c r="D208" s="417">
        <v>33453.339725104881</v>
      </c>
    </row>
    <row r="209" spans="1:6">
      <c r="C209" s="739" t="s">
        <v>2716</v>
      </c>
      <c r="D209" s="417">
        <v>43923.259841744548</v>
      </c>
    </row>
    <row r="210" spans="1:6">
      <c r="C210" s="739" t="s">
        <v>2717</v>
      </c>
      <c r="D210" s="417">
        <v>46464.259841744541</v>
      </c>
    </row>
    <row r="211" spans="1:6">
      <c r="C211" s="739" t="s">
        <v>2718</v>
      </c>
      <c r="D211" s="417">
        <v>38024.96104211788</v>
      </c>
    </row>
    <row r="212" spans="1:6">
      <c r="A212" s="448"/>
      <c r="B212" s="448"/>
      <c r="C212" s="739" t="s">
        <v>2719</v>
      </c>
      <c r="D212" s="417">
        <v>37114.831314101451</v>
      </c>
    </row>
    <row r="213" spans="1:6">
      <c r="A213" s="448"/>
      <c r="B213" s="448"/>
      <c r="C213" s="739" t="s">
        <v>2720</v>
      </c>
      <c r="D213" s="417">
        <v>39655.831314101444</v>
      </c>
    </row>
    <row r="214" spans="1:6">
      <c r="A214" s="448"/>
      <c r="B214" s="448"/>
      <c r="C214" s="739" t="s">
        <v>2721</v>
      </c>
      <c r="D214" s="417">
        <v>31216.53251447478</v>
      </c>
    </row>
    <row r="215" spans="1:6">
      <c r="C215" s="739" t="s">
        <v>2722</v>
      </c>
      <c r="D215" s="417">
        <v>39196.649483361427</v>
      </c>
    </row>
    <row r="216" spans="1:6">
      <c r="C216" s="739" t="s">
        <v>2723</v>
      </c>
      <c r="D216" s="417">
        <v>41737.649483361427</v>
      </c>
    </row>
    <row r="217" spans="1:6">
      <c r="C217" s="739" t="s">
        <v>2724</v>
      </c>
      <c r="D217" s="417">
        <v>33298.35068373476</v>
      </c>
    </row>
    <row r="218" spans="1:6">
      <c r="C218" s="739" t="s">
        <v>2725</v>
      </c>
      <c r="D218" s="417">
        <v>30306.402786458351</v>
      </c>
    </row>
    <row r="219" spans="1:6">
      <c r="C219" s="739" t="s">
        <v>2726</v>
      </c>
      <c r="D219" s="417">
        <v>32847.402786458348</v>
      </c>
    </row>
    <row r="220" spans="1:6">
      <c r="C220" s="739" t="s">
        <v>2727</v>
      </c>
      <c r="D220" s="417">
        <v>24408.10398683168</v>
      </c>
    </row>
    <row r="222" spans="1:6" ht="25.5">
      <c r="C222" s="743" t="s">
        <v>262</v>
      </c>
      <c r="D222" s="744" t="s">
        <v>2268</v>
      </c>
      <c r="E222" s="744" t="s">
        <v>2269</v>
      </c>
      <c r="F222" s="744" t="s">
        <v>2270</v>
      </c>
    </row>
    <row r="223" spans="1:6">
      <c r="C223" s="739" t="s">
        <v>2728</v>
      </c>
      <c r="D223" s="417">
        <v>13.78133807486148</v>
      </c>
      <c r="E223" s="417">
        <v>30000</v>
      </c>
      <c r="F223" s="417">
        <v>0</v>
      </c>
    </row>
    <row r="224" spans="1:6">
      <c r="C224" s="739" t="s">
        <v>2729</v>
      </c>
      <c r="D224" s="417">
        <v>13.78133807486148</v>
      </c>
      <c r="E224" s="417">
        <v>30000</v>
      </c>
      <c r="F224" s="417">
        <v>0</v>
      </c>
    </row>
    <row r="225" spans="3:6">
      <c r="C225" s="739" t="s">
        <v>2730</v>
      </c>
      <c r="D225" s="417">
        <v>13.78133807486148</v>
      </c>
      <c r="E225" s="417">
        <v>30000</v>
      </c>
      <c r="F225" s="417">
        <v>0</v>
      </c>
    </row>
    <row r="227" spans="3:6" ht="25.5">
      <c r="C227" s="743" t="s">
        <v>76</v>
      </c>
      <c r="D227" s="744" t="s">
        <v>2268</v>
      </c>
      <c r="E227" s="744" t="s">
        <v>2269</v>
      </c>
      <c r="F227" s="744" t="s">
        <v>2270</v>
      </c>
    </row>
    <row r="228" spans="3:6">
      <c r="C228" s="739" t="s">
        <v>1778</v>
      </c>
      <c r="D228" s="417">
        <v>479.88452763824785</v>
      </c>
      <c r="E228" s="417">
        <v>500000</v>
      </c>
      <c r="F228" s="417">
        <v>0</v>
      </c>
    </row>
    <row r="229" spans="3:6">
      <c r="C229" s="739" t="s">
        <v>1780</v>
      </c>
      <c r="D229" s="417">
        <v>1397.1485253123592</v>
      </c>
      <c r="E229" s="417">
        <v>331.25</v>
      </c>
      <c r="F229" s="417">
        <v>131.25</v>
      </c>
    </row>
    <row r="230" spans="3:6">
      <c r="C230" s="739" t="s">
        <v>1781</v>
      </c>
      <c r="D230" s="417">
        <v>9249.1686491555829</v>
      </c>
      <c r="E230" s="417">
        <v>375</v>
      </c>
      <c r="F230" s="417">
        <v>175</v>
      </c>
    </row>
    <row r="231" spans="3:6">
      <c r="C231" s="739" t="s">
        <v>1782</v>
      </c>
      <c r="D231" s="417">
        <v>12079.23665461145</v>
      </c>
      <c r="E231" s="417">
        <v>375</v>
      </c>
      <c r="F231" s="417">
        <v>175</v>
      </c>
    </row>
    <row r="232" spans="3:6">
      <c r="C232" s="739" t="s">
        <v>1783</v>
      </c>
      <c r="D232" s="417">
        <v>17630.945978575393</v>
      </c>
      <c r="E232" s="417">
        <v>550</v>
      </c>
      <c r="F232" s="417">
        <v>350</v>
      </c>
    </row>
    <row r="233" spans="3:6">
      <c r="C233" s="739" t="s">
        <v>1784</v>
      </c>
      <c r="D233" s="417">
        <v>14287.484377387667</v>
      </c>
      <c r="E233" s="417">
        <v>550</v>
      </c>
      <c r="F233" s="417">
        <v>350</v>
      </c>
    </row>
    <row r="234" spans="3:6">
      <c r="C234" s="739" t="s">
        <v>1785</v>
      </c>
      <c r="D234" s="417">
        <v>2968.4616011877265</v>
      </c>
      <c r="E234" s="417">
        <v>375</v>
      </c>
      <c r="F234" s="417">
        <v>175</v>
      </c>
    </row>
    <row r="235" spans="3:6">
      <c r="C235" s="739" t="s">
        <v>1786</v>
      </c>
      <c r="D235" s="417">
        <v>479.88452763824785</v>
      </c>
      <c r="E235" s="417">
        <v>500000</v>
      </c>
      <c r="F235" s="417">
        <v>0</v>
      </c>
    </row>
    <row r="236" spans="3:6">
      <c r="C236" s="739" t="s">
        <v>1787</v>
      </c>
      <c r="D236" s="417">
        <v>542.21651059099804</v>
      </c>
      <c r="E236" s="417">
        <v>1500</v>
      </c>
      <c r="F236" s="417">
        <v>700</v>
      </c>
    </row>
    <row r="237" spans="3:6">
      <c r="C237" s="739" t="s">
        <v>1788</v>
      </c>
      <c r="D237" s="417">
        <v>3268.4482662316937</v>
      </c>
      <c r="E237" s="417">
        <v>1500</v>
      </c>
      <c r="F237" s="417">
        <v>700</v>
      </c>
    </row>
    <row r="238" spans="3:6">
      <c r="C238" s="739" t="s">
        <v>1789</v>
      </c>
      <c r="D238" s="417">
        <v>5119.8990719411167</v>
      </c>
      <c r="E238" s="417">
        <v>375</v>
      </c>
      <c r="F238" s="417">
        <v>175</v>
      </c>
    </row>
    <row r="239" spans="3:6">
      <c r="C239" s="739" t="s">
        <v>1790</v>
      </c>
      <c r="D239" s="417">
        <v>3268.4482662316937</v>
      </c>
      <c r="E239" s="417">
        <v>1500</v>
      </c>
      <c r="F239" s="417">
        <v>700</v>
      </c>
    </row>
    <row r="240" spans="3:6">
      <c r="C240" s="739" t="s">
        <v>1791</v>
      </c>
      <c r="D240" s="417">
        <v>7755.3211029811491</v>
      </c>
      <c r="E240" s="417">
        <v>6444.9582570484363</v>
      </c>
      <c r="F240" s="417">
        <v>1400</v>
      </c>
    </row>
    <row r="241" spans="3:6">
      <c r="C241" s="739" t="s">
        <v>1792</v>
      </c>
      <c r="D241" s="417">
        <v>11801.888344846031</v>
      </c>
      <c r="E241" s="417">
        <v>1777</v>
      </c>
      <c r="F241" s="417">
        <v>1575</v>
      </c>
    </row>
    <row r="242" spans="3:6">
      <c r="C242" s="739" t="s">
        <v>1793</v>
      </c>
      <c r="D242" s="417">
        <v>479.88452763824785</v>
      </c>
      <c r="E242" s="417">
        <v>500000</v>
      </c>
      <c r="F242" s="417">
        <v>0</v>
      </c>
    </row>
    <row r="243" spans="3:6">
      <c r="C243" s="739" t="s">
        <v>1794</v>
      </c>
      <c r="D243" s="417">
        <v>1474.501517474911</v>
      </c>
      <c r="E243" s="417">
        <v>6400</v>
      </c>
      <c r="F243" s="417">
        <v>0</v>
      </c>
    </row>
    <row r="244" spans="3:6">
      <c r="C244" s="739" t="s">
        <v>1795</v>
      </c>
      <c r="D244" s="417">
        <v>8267.9491940787648</v>
      </c>
      <c r="E244" s="417">
        <v>9200</v>
      </c>
      <c r="F244" s="417">
        <v>2800</v>
      </c>
    </row>
    <row r="245" spans="3:6">
      <c r="C245" s="739" t="s">
        <v>1796</v>
      </c>
      <c r="D245" s="417">
        <v>10324.518749561234</v>
      </c>
      <c r="E245" s="417">
        <v>5142.9582570484363</v>
      </c>
      <c r="F245" s="417">
        <v>233.33333333333334</v>
      </c>
    </row>
    <row r="246" spans="3:6">
      <c r="C246" s="739" t="s">
        <v>1797</v>
      </c>
      <c r="D246" s="417">
        <v>7405.0395475953992</v>
      </c>
      <c r="E246" s="417">
        <v>12000</v>
      </c>
      <c r="F246" s="417">
        <v>5600</v>
      </c>
    </row>
    <row r="247" spans="3:6">
      <c r="C247" s="739" t="s">
        <v>1798</v>
      </c>
      <c r="D247" s="417">
        <v>20767.819494737232</v>
      </c>
      <c r="E247" s="417">
        <v>5242.9582570484363</v>
      </c>
      <c r="F247" s="417">
        <v>466.66666666666669</v>
      </c>
    </row>
    <row r="248" spans="3:6">
      <c r="C248" s="739" t="s">
        <v>1799</v>
      </c>
      <c r="D248" s="417">
        <v>11122.03667992221</v>
      </c>
      <c r="E248" s="417">
        <v>5842.9582570484372</v>
      </c>
      <c r="F248" s="417">
        <v>933.33333333333337</v>
      </c>
    </row>
    <row r="249" spans="3:6">
      <c r="C249" s="739" t="s">
        <v>1800</v>
      </c>
      <c r="D249" s="417">
        <v>35522.707733594871</v>
      </c>
      <c r="E249" s="417">
        <v>5282.9582570484363</v>
      </c>
      <c r="F249" s="417">
        <v>560</v>
      </c>
    </row>
    <row r="250" spans="3:6">
      <c r="C250" s="739" t="s">
        <v>1801</v>
      </c>
      <c r="D250" s="417">
        <v>20090.524640588141</v>
      </c>
      <c r="E250" s="417">
        <v>5709.6249237151033</v>
      </c>
      <c r="F250" s="417">
        <v>933.33333333333337</v>
      </c>
    </row>
    <row r="251" spans="3:6">
      <c r="C251" s="739" t="s">
        <v>1802</v>
      </c>
      <c r="D251" s="417">
        <v>479.88452763824785</v>
      </c>
      <c r="E251" s="417">
        <v>500000</v>
      </c>
      <c r="F251" s="417">
        <v>0</v>
      </c>
    </row>
    <row r="252" spans="3:6">
      <c r="C252" s="739" t="s">
        <v>1803</v>
      </c>
      <c r="D252" s="417">
        <v>1474.501517474911</v>
      </c>
      <c r="E252" s="417">
        <v>133.33333333333334</v>
      </c>
      <c r="F252" s="417">
        <v>0</v>
      </c>
    </row>
    <row r="253" spans="3:6">
      <c r="C253" s="739" t="s">
        <v>1804</v>
      </c>
      <c r="D253" s="417">
        <v>8267.9491940787648</v>
      </c>
      <c r="E253" s="417">
        <v>250</v>
      </c>
      <c r="F253" s="417">
        <v>116.66666666666667</v>
      </c>
    </row>
    <row r="254" spans="3:6">
      <c r="C254" s="739" t="s">
        <v>1805</v>
      </c>
      <c r="D254" s="417">
        <v>10324.518749561235</v>
      </c>
      <c r="E254" s="417">
        <v>5026.2915903817693</v>
      </c>
      <c r="F254" s="417">
        <v>116.66666666666667</v>
      </c>
    </row>
    <row r="255" spans="3:6">
      <c r="C255" s="739" t="s">
        <v>1806</v>
      </c>
      <c r="D255" s="417">
        <v>7245.6103748950773</v>
      </c>
      <c r="E255" s="417">
        <v>766.66666666666663</v>
      </c>
      <c r="F255" s="417">
        <v>233.33333333333334</v>
      </c>
    </row>
    <row r="256" spans="3:6">
      <c r="C256" s="739" t="s">
        <v>1807</v>
      </c>
      <c r="D256" s="417">
        <v>10776.34394491883</v>
      </c>
      <c r="E256" s="417">
        <v>5242.9582570484363</v>
      </c>
      <c r="F256" s="417">
        <v>466.66666666666669</v>
      </c>
    </row>
    <row r="257" spans="3:6">
      <c r="C257" s="739" t="s">
        <v>1808</v>
      </c>
      <c r="D257" s="417">
        <v>19597.001854397993</v>
      </c>
      <c r="E257" s="417">
        <v>5709.6249237151033</v>
      </c>
      <c r="F257" s="417">
        <v>933.33333333333337</v>
      </c>
    </row>
    <row r="259" spans="3:6" ht="25.5">
      <c r="C259" s="743" t="s">
        <v>1846</v>
      </c>
      <c r="D259" s="744" t="s">
        <v>2268</v>
      </c>
    </row>
    <row r="260" spans="3:6">
      <c r="C260" s="739" t="s">
        <v>2319</v>
      </c>
      <c r="D260" s="7">
        <v>0</v>
      </c>
    </row>
    <row r="261" spans="3:6">
      <c r="C261" s="739" t="s">
        <v>1839</v>
      </c>
      <c r="D261" s="417">
        <v>47320.377613144541</v>
      </c>
    </row>
    <row r="262" spans="3:6">
      <c r="C262" s="739" t="s">
        <v>530</v>
      </c>
      <c r="D262" s="417">
        <v>67060.953373480428</v>
      </c>
    </row>
    <row r="263" spans="3:6">
      <c r="C263" s="739" t="s">
        <v>524</v>
      </c>
      <c r="D263" s="417">
        <v>97279.858524104726</v>
      </c>
    </row>
    <row r="264" spans="3:6">
      <c r="C264" s="739" t="s">
        <v>2359</v>
      </c>
      <c r="D264" s="417">
        <v>141606.76525251291</v>
      </c>
    </row>
    <row r="265" spans="3:6">
      <c r="C265" s="739" t="s">
        <v>2360</v>
      </c>
      <c r="D265" s="417">
        <v>172481.68182070667</v>
      </c>
    </row>
    <row r="266" spans="3:6">
      <c r="C266" s="739" t="s">
        <v>1843</v>
      </c>
      <c r="D266" s="417">
        <v>238886.62377661766</v>
      </c>
    </row>
    <row r="267" spans="3:6">
      <c r="C267" s="739" t="s">
        <v>2361</v>
      </c>
      <c r="D267" s="417">
        <v>268672.60337203619</v>
      </c>
    </row>
    <row r="268" spans="3:6">
      <c r="C268" s="739" t="s">
        <v>2362</v>
      </c>
      <c r="D268" s="417">
        <v>331078.27884808701</v>
      </c>
    </row>
    <row r="269" spans="3:6">
      <c r="C269" s="739" t="s">
        <v>2363</v>
      </c>
      <c r="D269" s="417">
        <v>427269.20039941656</v>
      </c>
    </row>
    <row r="270" spans="3:6">
      <c r="C270" s="739" t="s">
        <v>2364</v>
      </c>
      <c r="D270" s="417">
        <v>618133.9419885003</v>
      </c>
    </row>
    <row r="271" spans="3:6">
      <c r="C271" s="739" t="s">
        <v>2365</v>
      </c>
      <c r="D271" s="417">
        <v>806868.06993022817</v>
      </c>
    </row>
    <row r="272" spans="3:6">
      <c r="C272" s="739" t="s">
        <v>2366</v>
      </c>
      <c r="D272" s="417">
        <v>1600588.4407209763</v>
      </c>
    </row>
    <row r="273" spans="3:4">
      <c r="C273" s="739" t="s">
        <v>2367</v>
      </c>
      <c r="D273" s="417">
        <v>2393571.4258578783</v>
      </c>
    </row>
    <row r="274" spans="3:4">
      <c r="C274" s="739" t="s">
        <v>2368</v>
      </c>
      <c r="D274" s="417">
        <v>3187291.7966486258</v>
      </c>
    </row>
    <row r="275" spans="3:4">
      <c r="C275" s="739" t="s">
        <v>1840</v>
      </c>
      <c r="D275" s="417">
        <v>3980626.3331044568</v>
      </c>
    </row>
    <row r="276" spans="3:4">
      <c r="C276" s="739" t="s">
        <v>1841</v>
      </c>
      <c r="D276" s="417">
        <v>65179.635712224161</v>
      </c>
    </row>
    <row r="277" spans="3:4">
      <c r="C277" s="739" t="s">
        <v>2369</v>
      </c>
      <c r="D277" s="417">
        <v>106985.44367874876</v>
      </c>
    </row>
    <row r="278" spans="3:4">
      <c r="C278" s="739" t="s">
        <v>2370</v>
      </c>
      <c r="D278" s="417">
        <v>187971.18124479818</v>
      </c>
    </row>
    <row r="279" spans="3:4">
      <c r="C279" s="739" t="s">
        <v>2371</v>
      </c>
      <c r="D279" s="417">
        <v>255507.32888709597</v>
      </c>
    </row>
    <row r="280" spans="3:4">
      <c r="C280" s="739" t="s">
        <v>2372</v>
      </c>
      <c r="D280" s="417">
        <v>341227.19509889162</v>
      </c>
    </row>
    <row r="281" spans="3:4">
      <c r="C281" s="739" t="s">
        <v>2373</v>
      </c>
      <c r="D281" s="417">
        <v>448920.82976364018</v>
      </c>
    </row>
    <row r="282" spans="3:4">
      <c r="C282" s="739" t="s">
        <v>2374</v>
      </c>
      <c r="D282" s="417">
        <v>500755.98941974033</v>
      </c>
    </row>
    <row r="283" spans="3:4">
      <c r="C283" s="739" t="s">
        <v>2375</v>
      </c>
      <c r="D283" s="417">
        <v>625846.9768413977</v>
      </c>
    </row>
    <row r="284" spans="3:4">
      <c r="C284" s="739" t="s">
        <v>2376</v>
      </c>
      <c r="D284" s="417">
        <v>784657.66796934558</v>
      </c>
    </row>
    <row r="285" spans="3:4">
      <c r="C285" s="739" t="s">
        <v>2377</v>
      </c>
      <c r="D285" s="417">
        <v>983125.52146548335</v>
      </c>
    </row>
    <row r="286" spans="3:4">
      <c r="C286" s="739" t="s">
        <v>1973</v>
      </c>
      <c r="D286" s="417">
        <v>1287997.2914514868</v>
      </c>
    </row>
    <row r="287" spans="3:4">
      <c r="C287" s="739" t="s">
        <v>2378</v>
      </c>
      <c r="D287" s="417">
        <v>2469674.08015214</v>
      </c>
    </row>
    <row r="288" spans="3:4">
      <c r="C288" s="739" t="s">
        <v>2379</v>
      </c>
      <c r="D288" s="417">
        <v>3665189.8451468754</v>
      </c>
    </row>
    <row r="289" spans="3:5">
      <c r="C289" s="739" t="s">
        <v>2380</v>
      </c>
      <c r="D289" s="417">
        <v>4860003.0415905947</v>
      </c>
    </row>
    <row r="290" spans="3:5">
      <c r="C290" s="739" t="s">
        <v>1842</v>
      </c>
      <c r="D290" s="417">
        <v>6041679.8302912479</v>
      </c>
    </row>
    <row r="293" spans="3:5" ht="25.5">
      <c r="C293" s="743" t="s">
        <v>1858</v>
      </c>
      <c r="D293" s="744" t="s">
        <v>2268</v>
      </c>
    </row>
    <row r="294" spans="3:5">
      <c r="C294" s="739" t="s">
        <v>2271</v>
      </c>
      <c r="D294" s="417">
        <v>2055.6594574217693</v>
      </c>
    </row>
    <row r="295" spans="3:5">
      <c r="C295" s="739" t="s">
        <v>2272</v>
      </c>
      <c r="D295" s="417">
        <v>4596.6594574217697</v>
      </c>
    </row>
    <row r="296" spans="3:5">
      <c r="C296" s="739" t="s">
        <v>2273</v>
      </c>
      <c r="D296" s="417">
        <v>400.15945742176945</v>
      </c>
    </row>
    <row r="297" spans="3:5">
      <c r="C297" s="739" t="s">
        <v>2274</v>
      </c>
      <c r="D297" s="417">
        <v>1852.9536938706483</v>
      </c>
    </row>
    <row r="298" spans="3:5">
      <c r="C298" s="739" t="s">
        <v>2275</v>
      </c>
      <c r="D298" s="417">
        <v>4393.9536938706478</v>
      </c>
    </row>
    <row r="299" spans="3:5">
      <c r="C299" s="739" t="s">
        <v>2276</v>
      </c>
      <c r="D299" s="417">
        <v>197.45369387064815</v>
      </c>
    </row>
    <row r="300" spans="3:5">
      <c r="C300" s="739" t="s">
        <v>2277</v>
      </c>
      <c r="D300" s="417">
        <v>431.47983759120507</v>
      </c>
    </row>
    <row r="301" spans="3:5">
      <c r="C301" s="739" t="s">
        <v>2278</v>
      </c>
      <c r="D301" s="417">
        <v>1066.7298375912051</v>
      </c>
    </row>
    <row r="302" spans="3:5">
      <c r="C302" s="739" t="s">
        <v>2279</v>
      </c>
      <c r="D302" s="417">
        <v>17.604837591205055</v>
      </c>
    </row>
    <row r="304" spans="3:5">
      <c r="C304" s="743" t="s">
        <v>2280</v>
      </c>
      <c r="D304" s="744" t="s">
        <v>249</v>
      </c>
      <c r="E304" s="744" t="s">
        <v>1</v>
      </c>
    </row>
    <row r="305" spans="3:5">
      <c r="C305" s="739" t="s">
        <v>255</v>
      </c>
      <c r="D305" s="417">
        <v>1428860.1787453324</v>
      </c>
      <c r="E305" s="739" t="s">
        <v>261</v>
      </c>
    </row>
    <row r="306" spans="3:5">
      <c r="C306" s="739" t="s">
        <v>2281</v>
      </c>
      <c r="D306" s="417">
        <v>94905.84778314663</v>
      </c>
      <c r="E306" s="739" t="s">
        <v>2282</v>
      </c>
    </row>
    <row r="307" spans="3:5">
      <c r="C307" s="739" t="s">
        <v>2283</v>
      </c>
      <c r="D307" s="417">
        <v>578346.66831291839</v>
      </c>
      <c r="E307" s="739" t="s">
        <v>2282</v>
      </c>
    </row>
    <row r="308" spans="3:5">
      <c r="C308" s="739" t="s">
        <v>2284</v>
      </c>
      <c r="D308" s="417">
        <v>37166.410089502344</v>
      </c>
      <c r="E308" s="739" t="s">
        <v>1929</v>
      </c>
    </row>
    <row r="309" spans="3:5">
      <c r="C309" s="739" t="s">
        <v>241</v>
      </c>
      <c r="D309" s="417">
        <v>4378.7483184007842</v>
      </c>
      <c r="E309" s="739" t="s">
        <v>257</v>
      </c>
    </row>
    <row r="310" spans="3:5">
      <c r="C310" s="739" t="s">
        <v>695</v>
      </c>
      <c r="D310" s="417">
        <v>23002.42970484019</v>
      </c>
      <c r="E310" s="739" t="s">
        <v>696</v>
      </c>
    </row>
    <row r="311" spans="3:5">
      <c r="C311" s="739" t="s">
        <v>1971</v>
      </c>
      <c r="D311" s="417">
        <v>14744.259627995101</v>
      </c>
      <c r="E311" s="739" t="s">
        <v>678</v>
      </c>
    </row>
    <row r="312" spans="3:5">
      <c r="C312" s="739" t="s">
        <v>2285</v>
      </c>
      <c r="D312" s="417">
        <v>83.843586410113915</v>
      </c>
      <c r="E312" s="739" t="s">
        <v>88</v>
      </c>
    </row>
    <row r="313" spans="3:5">
      <c r="C313" s="739" t="s">
        <v>2286</v>
      </c>
      <c r="D313" s="417">
        <v>78.238040836481886</v>
      </c>
      <c r="E313" s="739" t="s">
        <v>88</v>
      </c>
    </row>
    <row r="314" spans="3:5">
      <c r="C314" s="739" t="s">
        <v>280</v>
      </c>
      <c r="D314" s="417">
        <v>6193.2374496453021</v>
      </c>
      <c r="E314" s="739" t="s">
        <v>1972</v>
      </c>
    </row>
    <row r="315" spans="3:5">
      <c r="C315" s="739" t="s">
        <v>2287</v>
      </c>
      <c r="D315" s="417">
        <v>24.256734623373696</v>
      </c>
      <c r="E315" s="739" t="s">
        <v>79</v>
      </c>
    </row>
    <row r="316" spans="3:5">
      <c r="C316" s="739" t="s">
        <v>2288</v>
      </c>
      <c r="D316" s="417">
        <v>708.05531104662293</v>
      </c>
      <c r="E316" s="739" t="s">
        <v>80</v>
      </c>
    </row>
    <row r="317" spans="3:5">
      <c r="C317" s="739" t="s">
        <v>256</v>
      </c>
      <c r="D317" s="417">
        <v>6.4473744153094863</v>
      </c>
      <c r="E317" s="739" t="s">
        <v>79</v>
      </c>
    </row>
    <row r="318" spans="3:5">
      <c r="C318" s="739" t="s">
        <v>2289</v>
      </c>
      <c r="D318" s="417">
        <v>37.683233128992974</v>
      </c>
      <c r="E318" s="739" t="s">
        <v>19</v>
      </c>
    </row>
    <row r="319" spans="3:5">
      <c r="C319" s="739" t="s">
        <v>2290</v>
      </c>
      <c r="D319" s="417">
        <v>12.841386063004377</v>
      </c>
      <c r="E319" s="739" t="s">
        <v>88</v>
      </c>
    </row>
    <row r="320" spans="3:5">
      <c r="C320" s="739" t="s">
        <v>2291</v>
      </c>
      <c r="D320" s="417">
        <v>0.10016945146381405</v>
      </c>
      <c r="E320" s="739" t="s">
        <v>88</v>
      </c>
    </row>
    <row r="321" spans="3:5">
      <c r="C321" s="739" t="s">
        <v>253</v>
      </c>
      <c r="D321" s="417">
        <v>139.24360604672191</v>
      </c>
      <c r="E321" s="739" t="s">
        <v>19</v>
      </c>
    </row>
    <row r="322" spans="3:5">
      <c r="C322" s="739" t="s">
        <v>254</v>
      </c>
      <c r="D322" s="417">
        <v>22</v>
      </c>
      <c r="E322" s="739" t="s">
        <v>79</v>
      </c>
    </row>
    <row r="323" spans="3:5">
      <c r="C323" s="739" t="s">
        <v>2292</v>
      </c>
      <c r="D323" s="417">
        <v>12041.498977346095</v>
      </c>
      <c r="E323" s="739" t="s">
        <v>119</v>
      </c>
    </row>
    <row r="324" spans="3:5">
      <c r="C324" s="739" t="s">
        <v>234</v>
      </c>
      <c r="D324" s="417">
        <v>165000</v>
      </c>
      <c r="E324" s="739" t="s">
        <v>1207</v>
      </c>
    </row>
    <row r="325" spans="3:5">
      <c r="C325" s="739" t="s">
        <v>2293</v>
      </c>
      <c r="D325" s="417">
        <v>42090.698266109976</v>
      </c>
      <c r="E325" s="739" t="s">
        <v>1207</v>
      </c>
    </row>
    <row r="326" spans="3:5">
      <c r="C326" s="739" t="s">
        <v>2294</v>
      </c>
      <c r="D326" s="417">
        <v>4704.9317874560338</v>
      </c>
      <c r="E326" s="739" t="s">
        <v>119</v>
      </c>
    </row>
    <row r="328" spans="3:5">
      <c r="C328" s="743" t="s">
        <v>409</v>
      </c>
      <c r="D328" s="747" t="s">
        <v>84</v>
      </c>
    </row>
    <row r="329" spans="3:5">
      <c r="C329" s="739" t="s">
        <v>235</v>
      </c>
      <c r="D329" s="417">
        <v>6127.769066710518</v>
      </c>
    </row>
    <row r="330" spans="3:5">
      <c r="C330" s="739" t="s">
        <v>1868</v>
      </c>
      <c r="D330" s="417">
        <v>181979.9562253349</v>
      </c>
    </row>
    <row r="331" spans="3:5">
      <c r="C331" s="739" t="s">
        <v>1869</v>
      </c>
      <c r="D331" s="417">
        <v>315376.37379183853</v>
      </c>
    </row>
    <row r="332" spans="3:5">
      <c r="C332" s="739" t="s">
        <v>1870</v>
      </c>
      <c r="D332" s="417">
        <v>471046.16521508014</v>
      </c>
    </row>
    <row r="333" spans="3:5">
      <c r="C333" s="739" t="s">
        <v>1871</v>
      </c>
      <c r="D333" s="417">
        <v>777745.06840814056</v>
      </c>
    </row>
    <row r="334" spans="3:5">
      <c r="C334" s="739" t="s">
        <v>1872</v>
      </c>
      <c r="D334" s="417">
        <v>1214986.737636202</v>
      </c>
    </row>
    <row r="335" spans="3:5">
      <c r="C335" s="739" t="s">
        <v>1873</v>
      </c>
      <c r="D335" s="417">
        <v>1586113.498318655</v>
      </c>
    </row>
    <row r="336" spans="3:5">
      <c r="C336" s="739" t="s">
        <v>1874</v>
      </c>
      <c r="D336" s="417">
        <v>1866773.2172296762</v>
      </c>
    </row>
    <row r="337" spans="3:4">
      <c r="C337" s="739" t="s">
        <v>1875</v>
      </c>
      <c r="D337" s="417">
        <v>2164445.1260374617</v>
      </c>
    </row>
    <row r="338" spans="3:4">
      <c r="C338" s="739" t="s">
        <v>1876</v>
      </c>
      <c r="D338" s="417">
        <v>2472322.3474894669</v>
      </c>
    </row>
    <row r="339" spans="3:4">
      <c r="C339" s="739" t="s">
        <v>1877</v>
      </c>
      <c r="D339" s="417">
        <v>2829383.2005316718</v>
      </c>
    </row>
    <row r="340" spans="3:4">
      <c r="C340" s="739" t="s">
        <v>1889</v>
      </c>
      <c r="D340" s="417">
        <v>39812.991893113358</v>
      </c>
    </row>
    <row r="341" spans="3:4">
      <c r="C341" s="739" t="s">
        <v>1884</v>
      </c>
      <c r="D341" s="417">
        <v>78848.860905217749</v>
      </c>
    </row>
    <row r="342" spans="3:4">
      <c r="C342" s="739" t="s">
        <v>1885</v>
      </c>
      <c r="D342" s="417">
        <v>109924.18109708441</v>
      </c>
    </row>
    <row r="343" spans="3:4">
      <c r="C343" s="739" t="s">
        <v>1883</v>
      </c>
      <c r="D343" s="417">
        <v>131255.76433372754</v>
      </c>
    </row>
    <row r="344" spans="3:4">
      <c r="C344" s="739" t="s">
        <v>1886</v>
      </c>
      <c r="D344" s="417">
        <v>218832.74843790042</v>
      </c>
    </row>
    <row r="345" spans="3:4">
      <c r="C345" s="739" t="s">
        <v>1887</v>
      </c>
      <c r="D345" s="417">
        <v>262302.54511837405</v>
      </c>
    </row>
    <row r="346" spans="3:4">
      <c r="C346" s="739" t="s">
        <v>1888</v>
      </c>
      <c r="D346" s="417">
        <v>421178.49591168156</v>
      </c>
    </row>
    <row r="347" spans="3:4">
      <c r="C347" s="739" t="s">
        <v>1911</v>
      </c>
      <c r="D347" s="417">
        <v>53223.951104535605</v>
      </c>
    </row>
    <row r="348" spans="3:4">
      <c r="C348" s="739" t="s">
        <v>1912</v>
      </c>
      <c r="D348" s="417">
        <v>114258.78015968978</v>
      </c>
    </row>
    <row r="349" spans="3:4">
      <c r="C349" s="739" t="s">
        <v>1913</v>
      </c>
      <c r="D349" s="417">
        <v>216151.72825569558</v>
      </c>
    </row>
    <row r="350" spans="3:4">
      <c r="C350" s="739" t="s">
        <v>1914</v>
      </c>
      <c r="D350" s="417">
        <v>318612.72943543183</v>
      </c>
    </row>
    <row r="351" spans="3:4">
      <c r="C351" s="739" t="s">
        <v>1915</v>
      </c>
      <c r="D351" s="417">
        <v>480585.61349933827</v>
      </c>
    </row>
    <row r="352" spans="3:4">
      <c r="C352" s="739" t="s">
        <v>1916</v>
      </c>
      <c r="D352" s="417">
        <v>567590.73661246418</v>
      </c>
    </row>
    <row r="353" spans="2:15">
      <c r="C353" s="739" t="s">
        <v>1917</v>
      </c>
      <c r="D353" s="417">
        <v>793434.88220036891</v>
      </c>
    </row>
    <row r="354" spans="2:15">
      <c r="C354" s="739" t="s">
        <v>1922</v>
      </c>
      <c r="D354" s="417">
        <v>699442.25793588127</v>
      </c>
    </row>
    <row r="355" spans="2:15">
      <c r="C355" s="739" t="s">
        <v>1923</v>
      </c>
      <c r="D355" s="417">
        <v>1193456.3930382445</v>
      </c>
    </row>
    <row r="356" spans="2:15">
      <c r="C356" s="739" t="s">
        <v>1894</v>
      </c>
      <c r="D356" s="417">
        <v>98380.157093693182</v>
      </c>
    </row>
    <row r="357" spans="2:15">
      <c r="C357" s="739" t="s">
        <v>1895</v>
      </c>
      <c r="D357" s="417">
        <v>171994.9456738515</v>
      </c>
    </row>
    <row r="358" spans="2:15">
      <c r="C358" s="739" t="s">
        <v>1896</v>
      </c>
      <c r="D358" s="417">
        <v>335324.42496787658</v>
      </c>
    </row>
    <row r="359" spans="2:15">
      <c r="C359" s="739" t="s">
        <v>1897</v>
      </c>
      <c r="D359" s="417">
        <v>403211.63668554387</v>
      </c>
    </row>
    <row r="360" spans="2:15">
      <c r="C360" s="739" t="s">
        <v>1898</v>
      </c>
      <c r="D360" s="417">
        <v>538182.43319977704</v>
      </c>
    </row>
    <row r="361" spans="2:15">
      <c r="C361" s="739" t="s">
        <v>1899</v>
      </c>
      <c r="D361" s="417">
        <v>643677.97895600635</v>
      </c>
    </row>
    <row r="362" spans="2:15">
      <c r="C362" s="739" t="s">
        <v>1900</v>
      </c>
      <c r="D362" s="417">
        <v>2573627.7285158583</v>
      </c>
    </row>
    <row r="363" spans="2:15">
      <c r="C363" s="739" t="s">
        <v>1901</v>
      </c>
      <c r="D363" s="417">
        <v>2949553.1566801406</v>
      </c>
    </row>
    <row r="364" spans="2:15">
      <c r="C364" s="739" t="s">
        <v>1236</v>
      </c>
      <c r="D364" s="417">
        <v>60505.795767017473</v>
      </c>
    </row>
    <row r="365" spans="2:15">
      <c r="C365" s="739" t="s">
        <v>1238</v>
      </c>
      <c r="D365" s="417">
        <v>176230.19533442293</v>
      </c>
    </row>
    <row r="366" spans="2:15">
      <c r="C366" s="739" t="s">
        <v>1240</v>
      </c>
      <c r="D366" s="417">
        <v>275288.30427520763</v>
      </c>
    </row>
    <row r="368" spans="2:15">
      <c r="B368" s="477"/>
      <c r="C368" s="477"/>
      <c r="D368" s="477"/>
      <c r="E368" s="477"/>
      <c r="F368" s="477"/>
      <c r="G368" s="477"/>
      <c r="H368" s="477"/>
      <c r="I368" s="477"/>
      <c r="J368" s="477"/>
      <c r="K368" s="477"/>
      <c r="L368" s="477"/>
      <c r="M368" s="477"/>
      <c r="N368" s="477"/>
      <c r="O368" s="477"/>
    </row>
  </sheetData>
  <sheetProtection algorithmName="SHA-512" hashValue="Moio1HOcB4NPWPhmVucfennSTULmvJp5Z8hRONh+sz8shKLX7RBL2n/Wrv9ArvPmSK31kd/YmI7udQcuu2YDiw==" saltValue="BzCfNWARt+1waKJBpaFJUw==" spinCount="100000" sheet="1" objects="1" scenarios="1" autoFilter="0"/>
  <hyperlinks>
    <hyperlink ref="B3" location="CONTENTS" display="Contents" xr:uid="{867A2B45-84E3-460D-A743-127CDABC4C46}"/>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B662B-AF89-46F7-A47C-2BDBBAAC11DA}">
  <sheetPr codeName="Sheet43"/>
  <dimension ref="B1:AH553"/>
  <sheetViews>
    <sheetView showGridLines="0" workbookViewId="0">
      <pane xSplit="2" ySplit="3" topLeftCell="C4" activePane="bottomRight" state="frozen"/>
      <selection pane="topRight" activeCell="C1" sqref="C1"/>
      <selection pane="bottomLeft" activeCell="A4" sqref="A4"/>
      <selection pane="bottomRight"/>
    </sheetView>
  </sheetViews>
  <sheetFormatPr defaultColWidth="8.7109375" defaultRowHeight="12.75"/>
  <cols>
    <col min="1" max="1" width="5.42578125" customWidth="1"/>
    <col min="2" max="2" width="10.5703125" customWidth="1"/>
    <col min="3" max="3" width="62.42578125" customWidth="1"/>
    <col min="4" max="22" width="12.5703125" customWidth="1"/>
  </cols>
  <sheetData>
    <row r="1" spans="2:34">
      <c r="C1" s="728">
        <v>1</v>
      </c>
      <c r="D1" s="728">
        <f t="shared" ref="D1:N1" si="0">C1+1</f>
        <v>2</v>
      </c>
      <c r="E1" s="728">
        <f t="shared" si="0"/>
        <v>3</v>
      </c>
      <c r="F1" s="728">
        <f t="shared" si="0"/>
        <v>4</v>
      </c>
      <c r="G1" s="728">
        <f t="shared" si="0"/>
        <v>5</v>
      </c>
      <c r="H1" s="728">
        <f t="shared" si="0"/>
        <v>6</v>
      </c>
      <c r="I1" s="728">
        <f t="shared" si="0"/>
        <v>7</v>
      </c>
      <c r="J1" s="728">
        <f t="shared" si="0"/>
        <v>8</v>
      </c>
      <c r="K1" s="728">
        <f t="shared" si="0"/>
        <v>9</v>
      </c>
      <c r="L1" s="728">
        <f t="shared" si="0"/>
        <v>10</v>
      </c>
      <c r="M1" s="728">
        <f t="shared" si="0"/>
        <v>11</v>
      </c>
      <c r="N1" s="728">
        <f t="shared" si="0"/>
        <v>12</v>
      </c>
      <c r="O1" s="728">
        <f t="shared" ref="O1" si="1">N1+1</f>
        <v>13</v>
      </c>
      <c r="P1" s="728">
        <f t="shared" ref="P1" si="2">O1+1</f>
        <v>14</v>
      </c>
      <c r="Q1" s="728">
        <f t="shared" ref="Q1" si="3">P1+1</f>
        <v>15</v>
      </c>
      <c r="R1" s="728">
        <f t="shared" ref="R1" si="4">Q1+1</f>
        <v>16</v>
      </c>
      <c r="S1" s="728">
        <f t="shared" ref="S1" si="5">R1+1</f>
        <v>17</v>
      </c>
      <c r="T1" s="728">
        <f t="shared" ref="T1" si="6">S1+1</f>
        <v>18</v>
      </c>
      <c r="U1" s="728">
        <f t="shared" ref="U1" si="7">T1+1</f>
        <v>19</v>
      </c>
      <c r="V1" s="728">
        <f t="shared" ref="V1" si="8">U1+1</f>
        <v>20</v>
      </c>
      <c r="W1" s="728">
        <f t="shared" ref="W1" si="9">V1+1</f>
        <v>21</v>
      </c>
      <c r="X1" s="728">
        <f t="shared" ref="X1" si="10">W1+1</f>
        <v>22</v>
      </c>
      <c r="Y1" s="728">
        <f t="shared" ref="Y1" si="11">X1+1</f>
        <v>23</v>
      </c>
      <c r="Z1" s="728">
        <f t="shared" ref="Z1" si="12">Y1+1</f>
        <v>24</v>
      </c>
      <c r="AA1" s="728">
        <f t="shared" ref="AA1" si="13">Z1+1</f>
        <v>25</v>
      </c>
      <c r="AB1" s="728">
        <f t="shared" ref="AB1" si="14">AA1+1</f>
        <v>26</v>
      </c>
      <c r="AC1" s="728">
        <f t="shared" ref="AC1" si="15">AB1+1</f>
        <v>27</v>
      </c>
      <c r="AD1" s="728">
        <f t="shared" ref="AD1" si="16">AC1+1</f>
        <v>28</v>
      </c>
      <c r="AE1" s="728">
        <f t="shared" ref="AE1" si="17">AD1+1</f>
        <v>29</v>
      </c>
      <c r="AF1" s="728">
        <f t="shared" ref="AF1" si="18">AE1+1</f>
        <v>30</v>
      </c>
      <c r="AG1" s="728">
        <f t="shared" ref="AG1" si="19">AF1+1</f>
        <v>31</v>
      </c>
      <c r="AH1" s="728">
        <f t="shared" ref="AH1" si="20">AG1+1</f>
        <v>32</v>
      </c>
    </row>
    <row r="2" spans="2:34" ht="16.350000000000001" customHeight="1">
      <c r="B2" s="225" t="str">
        <f>CONTENTS!$B$2</f>
        <v>Petroleum and Gas Estimated Rehabilitation Cost Calculator</v>
      </c>
      <c r="C2" s="315"/>
      <c r="D2" s="315"/>
      <c r="E2" s="315"/>
      <c r="F2" s="315"/>
      <c r="G2" s="315"/>
      <c r="H2" s="315"/>
      <c r="I2" s="315"/>
      <c r="J2" s="315"/>
      <c r="K2" s="315"/>
      <c r="L2" s="315"/>
      <c r="M2" s="315"/>
      <c r="N2" s="315"/>
    </row>
    <row r="3" spans="2:34" ht="20.100000000000001" customHeight="1">
      <c r="B3" s="20" t="s">
        <v>305</v>
      </c>
      <c r="C3" s="255" t="s">
        <v>331</v>
      </c>
      <c r="D3" s="448"/>
      <c r="E3" s="448"/>
      <c r="F3" s="448"/>
      <c r="G3" s="448"/>
      <c r="H3" s="448"/>
    </row>
    <row r="4" spans="2:34">
      <c r="B4" s="254"/>
      <c r="C4" s="254"/>
      <c r="D4" s="448"/>
      <c r="E4" s="448"/>
      <c r="F4" s="448"/>
      <c r="G4" s="448"/>
      <c r="H4" s="448"/>
    </row>
    <row r="5" spans="2:34">
      <c r="C5" s="748" t="s">
        <v>2295</v>
      </c>
    </row>
    <row r="6" spans="2:34">
      <c r="C6" s="448" t="s">
        <v>354</v>
      </c>
    </row>
    <row r="7" spans="2:34">
      <c r="C7" s="448" t="s">
        <v>2296</v>
      </c>
    </row>
    <row r="8" spans="2:34">
      <c r="C8" s="448" t="s">
        <v>2297</v>
      </c>
    </row>
    <row r="9" spans="2:34">
      <c r="C9" s="448" t="s">
        <v>2298</v>
      </c>
    </row>
    <row r="10" spans="2:34">
      <c r="C10" s="448" t="s">
        <v>2299</v>
      </c>
    </row>
    <row r="11" spans="2:34">
      <c r="C11" s="448"/>
    </row>
    <row r="12" spans="2:34">
      <c r="C12" s="748" t="s">
        <v>2300</v>
      </c>
      <c r="D12" s="448"/>
      <c r="E12" s="448"/>
      <c r="F12" s="448"/>
      <c r="G12" s="448"/>
      <c r="H12" s="448"/>
      <c r="L12" s="214"/>
    </row>
    <row r="13" spans="2:34">
      <c r="C13" s="448" t="s">
        <v>2055</v>
      </c>
      <c r="D13" s="448"/>
      <c r="E13" s="448"/>
      <c r="F13" s="448"/>
      <c r="G13" s="448"/>
      <c r="H13" s="448"/>
      <c r="L13" s="214"/>
    </row>
    <row r="14" spans="2:34">
      <c r="C14" s="448" t="s">
        <v>197</v>
      </c>
      <c r="D14" s="448"/>
      <c r="E14" s="448"/>
      <c r="F14" s="448"/>
      <c r="G14" s="448"/>
      <c r="H14" s="448"/>
      <c r="L14" s="214"/>
    </row>
    <row r="15" spans="2:34">
      <c r="C15" s="448" t="s">
        <v>2223</v>
      </c>
      <c r="D15" s="448"/>
      <c r="E15" s="448"/>
      <c r="F15" s="448"/>
      <c r="G15" s="448"/>
      <c r="H15" s="448"/>
      <c r="L15" s="214"/>
    </row>
    <row r="16" spans="2:34">
      <c r="C16" s="448" t="s">
        <v>91</v>
      </c>
      <c r="D16" s="448"/>
      <c r="E16" s="448"/>
      <c r="F16" s="448"/>
      <c r="G16" s="448"/>
      <c r="H16" s="448"/>
      <c r="L16" s="214"/>
    </row>
    <row r="17" spans="2:12">
      <c r="C17" s="448" t="s">
        <v>92</v>
      </c>
      <c r="D17" s="448"/>
      <c r="E17" s="448"/>
      <c r="F17" s="448"/>
      <c r="G17" s="448"/>
      <c r="H17" s="448"/>
      <c r="L17" s="214"/>
    </row>
    <row r="18" spans="2:12">
      <c r="C18" s="448" t="s">
        <v>2301</v>
      </c>
      <c r="D18" s="448"/>
      <c r="E18" s="448"/>
      <c r="F18" s="448"/>
      <c r="G18" s="448"/>
      <c r="H18" s="448"/>
      <c r="L18" s="214"/>
    </row>
    <row r="19" spans="2:12">
      <c r="B19" s="448"/>
      <c r="C19" s="448"/>
      <c r="D19" s="448"/>
    </row>
    <row r="20" spans="2:12">
      <c r="C20" s="748" t="s">
        <v>2302</v>
      </c>
    </row>
    <row r="21" spans="2:12">
      <c r="C21" s="448" t="s">
        <v>148</v>
      </c>
    </row>
    <row r="22" spans="2:12">
      <c r="C22" s="448" t="s">
        <v>1855</v>
      </c>
    </row>
    <row r="23" spans="2:12">
      <c r="C23" s="448" t="s">
        <v>1856</v>
      </c>
    </row>
    <row r="24" spans="2:12">
      <c r="C24" s="448"/>
    </row>
    <row r="25" spans="2:12">
      <c r="C25" s="748" t="s">
        <v>2303</v>
      </c>
    </row>
    <row r="26" spans="2:12">
      <c r="C26" s="448" t="s">
        <v>1854</v>
      </c>
    </row>
    <row r="27" spans="2:12">
      <c r="C27" s="448" t="s">
        <v>243</v>
      </c>
    </row>
    <row r="28" spans="2:12">
      <c r="C28" s="448" t="s">
        <v>242</v>
      </c>
    </row>
    <row r="29" spans="2:12">
      <c r="C29" s="448"/>
    </row>
    <row r="30" spans="2:12">
      <c r="C30" s="748" t="s">
        <v>230</v>
      </c>
    </row>
    <row r="31" spans="2:12">
      <c r="C31" s="448" t="s">
        <v>235</v>
      </c>
    </row>
    <row r="32" spans="2:12">
      <c r="C32" s="448" t="s">
        <v>236</v>
      </c>
      <c r="F32" t="s">
        <v>236</v>
      </c>
    </row>
    <row r="33" spans="3:6">
      <c r="C33" s="448" t="s">
        <v>237</v>
      </c>
      <c r="F33" t="s">
        <v>240</v>
      </c>
    </row>
    <row r="34" spans="3:6">
      <c r="C34" s="448" t="s">
        <v>240</v>
      </c>
      <c r="F34" t="s">
        <v>231</v>
      </c>
    </row>
    <row r="35" spans="3:6">
      <c r="C35" s="448" t="s">
        <v>238</v>
      </c>
      <c r="F35" t="s">
        <v>239</v>
      </c>
    </row>
    <row r="36" spans="3:6">
      <c r="C36" s="448" t="s">
        <v>231</v>
      </c>
    </row>
    <row r="37" spans="3:6">
      <c r="C37" s="448" t="s">
        <v>239</v>
      </c>
    </row>
    <row r="38" spans="3:6">
      <c r="C38" s="448" t="s">
        <v>245</v>
      </c>
    </row>
    <row r="39" spans="3:6">
      <c r="C39" s="448"/>
    </row>
    <row r="40" spans="3:6">
      <c r="C40" s="748" t="s">
        <v>132</v>
      </c>
      <c r="D40" s="749" t="s">
        <v>2304</v>
      </c>
    </row>
    <row r="41" spans="3:6">
      <c r="C41" s="448" t="s">
        <v>124</v>
      </c>
      <c r="D41" s="214" t="s">
        <v>1779</v>
      </c>
    </row>
    <row r="42" spans="3:6">
      <c r="C42" s="448" t="s">
        <v>133</v>
      </c>
      <c r="D42" s="214" t="s">
        <v>1809</v>
      </c>
    </row>
    <row r="43" spans="3:6">
      <c r="C43" s="448" t="s">
        <v>99</v>
      </c>
    </row>
    <row r="44" spans="3:6">
      <c r="C44" s="448"/>
    </row>
    <row r="45" spans="3:6">
      <c r="C45" s="748" t="s">
        <v>194</v>
      </c>
    </row>
    <row r="46" spans="3:6">
      <c r="C46" s="448" t="s">
        <v>136</v>
      </c>
    </row>
    <row r="47" spans="3:6">
      <c r="C47" s="448" t="s">
        <v>152</v>
      </c>
    </row>
    <row r="48" spans="3:6">
      <c r="C48" s="448" t="s">
        <v>98</v>
      </c>
    </row>
    <row r="49" spans="3:3">
      <c r="C49" s="448" t="s">
        <v>1835</v>
      </c>
    </row>
    <row r="50" spans="3:3">
      <c r="C50" s="448"/>
    </row>
    <row r="51" spans="3:3">
      <c r="C51" s="748" t="s">
        <v>2305</v>
      </c>
    </row>
    <row r="52" spans="3:3">
      <c r="C52" s="448" t="s">
        <v>163</v>
      </c>
    </row>
    <row r="53" spans="3:3">
      <c r="C53" s="448" t="s">
        <v>165</v>
      </c>
    </row>
    <row r="54" spans="3:3">
      <c r="C54" s="448" t="s">
        <v>2306</v>
      </c>
    </row>
    <row r="55" spans="3:3">
      <c r="C55" s="448" t="s">
        <v>164</v>
      </c>
    </row>
    <row r="56" spans="3:3">
      <c r="C56" s="448" t="s">
        <v>166</v>
      </c>
    </row>
    <row r="57" spans="3:3">
      <c r="C57" s="448" t="s">
        <v>2307</v>
      </c>
    </row>
    <row r="58" spans="3:3">
      <c r="C58" s="448" t="s">
        <v>167</v>
      </c>
    </row>
    <row r="59" spans="3:3">
      <c r="C59" s="448"/>
    </row>
    <row r="60" spans="3:3">
      <c r="C60" s="748" t="s">
        <v>2308</v>
      </c>
    </row>
    <row r="61" spans="3:3">
      <c r="C61" s="448" t="s">
        <v>147</v>
      </c>
    </row>
    <row r="62" spans="3:3">
      <c r="C62" s="448" t="s">
        <v>14</v>
      </c>
    </row>
    <row r="63" spans="3:3">
      <c r="C63" s="448" t="s">
        <v>168</v>
      </c>
    </row>
    <row r="64" spans="3:3">
      <c r="C64" s="448"/>
    </row>
    <row r="65" spans="3:3">
      <c r="C65" s="748" t="s">
        <v>77</v>
      </c>
    </row>
    <row r="66" spans="3:3">
      <c r="C66" s="448" t="s">
        <v>169</v>
      </c>
    </row>
    <row r="67" spans="3:3">
      <c r="C67" s="448" t="s">
        <v>170</v>
      </c>
    </row>
    <row r="68" spans="3:3">
      <c r="C68" s="448"/>
    </row>
    <row r="69" spans="3:3">
      <c r="C69" s="748" t="s">
        <v>171</v>
      </c>
    </row>
    <row r="70" spans="3:3">
      <c r="C70" s="448" t="s">
        <v>172</v>
      </c>
    </row>
    <row r="71" spans="3:3">
      <c r="C71" s="448" t="s">
        <v>173</v>
      </c>
    </row>
    <row r="72" spans="3:3">
      <c r="C72" s="448" t="s">
        <v>147</v>
      </c>
    </row>
    <row r="73" spans="3:3">
      <c r="C73" s="448" t="s">
        <v>14</v>
      </c>
    </row>
    <row r="74" spans="3:3">
      <c r="C74" s="448" t="s">
        <v>168</v>
      </c>
    </row>
    <row r="75" spans="3:3">
      <c r="C75" s="448"/>
    </row>
    <row r="76" spans="3:3">
      <c r="C76" s="748" t="s">
        <v>2309</v>
      </c>
    </row>
    <row r="77" spans="3:3">
      <c r="C77" s="448" t="s">
        <v>175</v>
      </c>
    </row>
    <row r="78" spans="3:3">
      <c r="C78" s="448" t="s">
        <v>176</v>
      </c>
    </row>
    <row r="79" spans="3:3">
      <c r="C79" s="448"/>
    </row>
    <row r="80" spans="3:3">
      <c r="C80" s="748" t="s">
        <v>2310</v>
      </c>
    </row>
    <row r="81" spans="3:8">
      <c r="C81" s="448" t="s">
        <v>177</v>
      </c>
    </row>
    <row r="82" spans="3:8">
      <c r="C82" s="448" t="s">
        <v>2311</v>
      </c>
    </row>
    <row r="83" spans="3:8">
      <c r="C83" s="448"/>
    </row>
    <row r="84" spans="3:8">
      <c r="C84" s="748" t="s">
        <v>2312</v>
      </c>
    </row>
    <row r="85" spans="3:8">
      <c r="C85" s="448"/>
    </row>
    <row r="86" spans="3:8">
      <c r="C86" s="448" t="s">
        <v>2352</v>
      </c>
      <c r="D86" s="750" t="s">
        <v>2352</v>
      </c>
      <c r="E86" s="751"/>
      <c r="F86" s="751"/>
      <c r="G86" s="751"/>
      <c r="H86" s="751" t="b">
        <v>1</v>
      </c>
    </row>
    <row r="87" spans="3:8">
      <c r="C87" s="448" t="s">
        <v>2353</v>
      </c>
    </row>
    <row r="88" spans="3:8">
      <c r="C88" s="448" t="s">
        <v>2354</v>
      </c>
    </row>
    <row r="89" spans="3:8">
      <c r="C89" s="448" t="s">
        <v>2355</v>
      </c>
    </row>
    <row r="90" spans="3:8">
      <c r="C90" s="448" t="s">
        <v>2356</v>
      </c>
    </row>
    <row r="91" spans="3:8">
      <c r="C91" s="448" t="s">
        <v>2357</v>
      </c>
    </row>
    <row r="92" spans="3:8">
      <c r="C92" s="448" t="s">
        <v>2358</v>
      </c>
    </row>
    <row r="93" spans="3:8">
      <c r="C93" s="448"/>
    </row>
    <row r="94" spans="3:8">
      <c r="C94" s="748" t="s">
        <v>2313</v>
      </c>
    </row>
    <row r="95" spans="3:8">
      <c r="C95" s="448" t="s">
        <v>175</v>
      </c>
    </row>
    <row r="96" spans="3:8">
      <c r="C96" s="448" t="s">
        <v>193</v>
      </c>
    </row>
    <row r="97" spans="3:21">
      <c r="C97" s="748"/>
    </row>
    <row r="98" spans="3:21">
      <c r="C98" s="748" t="s">
        <v>2314</v>
      </c>
    </row>
    <row r="99" spans="3:21">
      <c r="C99" s="448" t="s">
        <v>1991</v>
      </c>
    </row>
    <row r="100" spans="3:21">
      <c r="C100" s="448" t="s">
        <v>1990</v>
      </c>
    </row>
    <row r="101" spans="3:21">
      <c r="C101" s="448"/>
    </row>
    <row r="102" spans="3:21">
      <c r="C102" s="748" t="s">
        <v>2315</v>
      </c>
    </row>
    <row r="103" spans="3:21">
      <c r="C103" s="448" t="s">
        <v>191</v>
      </c>
    </row>
    <row r="104" spans="3:21">
      <c r="C104" s="448" t="s">
        <v>192</v>
      </c>
    </row>
    <row r="105" spans="3:21">
      <c r="C105" s="448"/>
    </row>
    <row r="106" spans="3:21">
      <c r="C106" s="748" t="s">
        <v>18</v>
      </c>
    </row>
    <row r="107" spans="3:21">
      <c r="C107" s="448" t="s">
        <v>228</v>
      </c>
      <c r="E107" s="448" t="s">
        <v>228</v>
      </c>
      <c r="F107" s="448" t="s">
        <v>229</v>
      </c>
      <c r="G107" s="448" t="s">
        <v>220</v>
      </c>
      <c r="H107" s="448" t="s">
        <v>221</v>
      </c>
      <c r="I107" s="448"/>
      <c r="J107" s="448"/>
      <c r="K107" s="448"/>
      <c r="L107" s="448" t="s">
        <v>216</v>
      </c>
      <c r="M107" s="448" t="s">
        <v>217</v>
      </c>
      <c r="N107" s="448" t="s">
        <v>218</v>
      </c>
      <c r="O107" s="448" t="s">
        <v>219</v>
      </c>
      <c r="P107" s="448" t="s">
        <v>220</v>
      </c>
      <c r="Q107" s="448" t="s">
        <v>221</v>
      </c>
      <c r="R107" s="448" t="s">
        <v>222</v>
      </c>
      <c r="S107" s="448" t="s">
        <v>223</v>
      </c>
      <c r="T107" s="448" t="s">
        <v>224</v>
      </c>
      <c r="U107" s="448" t="s">
        <v>215</v>
      </c>
    </row>
    <row r="108" spans="3:21">
      <c r="C108" s="448" t="s">
        <v>229</v>
      </c>
    </row>
    <row r="109" spans="3:21">
      <c r="C109" s="448" t="s">
        <v>220</v>
      </c>
    </row>
    <row r="110" spans="3:21">
      <c r="C110" s="448" t="s">
        <v>221</v>
      </c>
    </row>
    <row r="111" spans="3:21">
      <c r="C111" s="448" t="s">
        <v>222</v>
      </c>
    </row>
    <row r="112" spans="3:21">
      <c r="C112" s="448" t="s">
        <v>223</v>
      </c>
    </row>
    <row r="113" spans="3:17">
      <c r="C113" s="448" t="s">
        <v>224</v>
      </c>
    </row>
    <row r="114" spans="3:17">
      <c r="C114" s="448" t="s">
        <v>215</v>
      </c>
    </row>
    <row r="115" spans="3:17">
      <c r="C115" s="448" t="s">
        <v>2078</v>
      </c>
    </row>
    <row r="116" spans="3:17">
      <c r="C116" s="448"/>
    </row>
    <row r="117" spans="3:17">
      <c r="C117" s="748" t="s">
        <v>18</v>
      </c>
    </row>
    <row r="118" spans="3:17">
      <c r="C118" s="448" t="s">
        <v>216</v>
      </c>
      <c r="E118" s="448" t="s">
        <v>216</v>
      </c>
      <c r="F118" s="448" t="s">
        <v>217</v>
      </c>
      <c r="G118" s="448" t="s">
        <v>218</v>
      </c>
      <c r="H118" s="448" t="s">
        <v>219</v>
      </c>
      <c r="I118" s="448" t="s">
        <v>220</v>
      </c>
      <c r="J118" s="448" t="s">
        <v>221</v>
      </c>
      <c r="K118" s="448" t="s">
        <v>222</v>
      </c>
      <c r="L118" s="448" t="s">
        <v>223</v>
      </c>
      <c r="M118" s="448" t="s">
        <v>224</v>
      </c>
      <c r="N118" s="448" t="s">
        <v>225</v>
      </c>
      <c r="O118" s="448" t="s">
        <v>226</v>
      </c>
      <c r="P118" s="448" t="s">
        <v>227</v>
      </c>
      <c r="Q118" s="448">
        <v>0</v>
      </c>
    </row>
    <row r="119" spans="3:17">
      <c r="C119" s="448" t="s">
        <v>217</v>
      </c>
    </row>
    <row r="120" spans="3:17">
      <c r="C120" s="448" t="s">
        <v>218</v>
      </c>
    </row>
    <row r="121" spans="3:17">
      <c r="C121" s="448" t="s">
        <v>219</v>
      </c>
    </row>
    <row r="122" spans="3:17">
      <c r="C122" s="448" t="s">
        <v>220</v>
      </c>
    </row>
    <row r="123" spans="3:17">
      <c r="C123" s="448" t="s">
        <v>221</v>
      </c>
    </row>
    <row r="124" spans="3:17">
      <c r="C124" s="448" t="s">
        <v>222</v>
      </c>
    </row>
    <row r="125" spans="3:17">
      <c r="C125" s="448" t="s">
        <v>223</v>
      </c>
    </row>
    <row r="126" spans="3:17">
      <c r="C126" s="448" t="s">
        <v>224</v>
      </c>
    </row>
    <row r="127" spans="3:17">
      <c r="C127" s="448" t="s">
        <v>225</v>
      </c>
    </row>
    <row r="128" spans="3:17">
      <c r="C128" s="448" t="s">
        <v>226</v>
      </c>
    </row>
    <row r="129" spans="3:34">
      <c r="C129" s="448" t="s">
        <v>227</v>
      </c>
    </row>
    <row r="130" spans="3:34">
      <c r="C130" s="448">
        <v>0</v>
      </c>
    </row>
    <row r="131" spans="3:34">
      <c r="C131" s="448">
        <v>0</v>
      </c>
    </row>
    <row r="132" spans="3:34">
      <c r="C132" s="448">
        <v>0</v>
      </c>
    </row>
    <row r="133" spans="3:34">
      <c r="C133" s="448"/>
    </row>
    <row r="134" spans="3:34">
      <c r="C134" s="448" t="s">
        <v>2316</v>
      </c>
      <c r="D134" s="448" t="s">
        <v>2317</v>
      </c>
    </row>
    <row r="135" spans="3:34">
      <c r="C135" s="448"/>
    </row>
    <row r="136" spans="3:34">
      <c r="C136" s="448"/>
    </row>
    <row r="137" spans="3:34">
      <c r="C137" s="748" t="s">
        <v>2318</v>
      </c>
    </row>
    <row r="138" spans="3:34">
      <c r="C138" s="448" t="s">
        <v>110</v>
      </c>
    </row>
    <row r="139" spans="3:34">
      <c r="C139" s="448" t="s">
        <v>111</v>
      </c>
    </row>
    <row r="140" spans="3:34">
      <c r="C140" s="448" t="s">
        <v>112</v>
      </c>
    </row>
    <row r="141" spans="3:34">
      <c r="C141" s="448" t="s">
        <v>113</v>
      </c>
    </row>
    <row r="142" spans="3:34">
      <c r="C142" s="748"/>
    </row>
    <row r="143" spans="3:34">
      <c r="C143" s="448" t="s">
        <v>2319</v>
      </c>
    </row>
    <row r="144" spans="3:34">
      <c r="C144" s="448" t="s">
        <v>1839</v>
      </c>
      <c r="E144" t="s">
        <v>1839</v>
      </c>
      <c r="F144" t="s">
        <v>530</v>
      </c>
      <c r="G144" t="s">
        <v>524</v>
      </c>
      <c r="H144" t="s">
        <v>2359</v>
      </c>
      <c r="I144" t="s">
        <v>2360</v>
      </c>
      <c r="J144" t="s">
        <v>1843</v>
      </c>
      <c r="K144" t="s">
        <v>2361</v>
      </c>
      <c r="L144" t="s">
        <v>2362</v>
      </c>
      <c r="M144" t="s">
        <v>2363</v>
      </c>
      <c r="N144" t="s">
        <v>2364</v>
      </c>
      <c r="O144" t="s">
        <v>2365</v>
      </c>
      <c r="P144" t="s">
        <v>2366</v>
      </c>
      <c r="Q144" t="s">
        <v>2367</v>
      </c>
      <c r="R144" t="s">
        <v>2368</v>
      </c>
      <c r="S144" t="s">
        <v>1840</v>
      </c>
      <c r="T144" t="s">
        <v>1841</v>
      </c>
      <c r="U144" t="s">
        <v>2369</v>
      </c>
      <c r="V144" t="s">
        <v>2370</v>
      </c>
      <c r="W144" t="s">
        <v>2371</v>
      </c>
      <c r="X144" t="s">
        <v>2372</v>
      </c>
      <c r="Y144" t="s">
        <v>2373</v>
      </c>
      <c r="Z144" t="s">
        <v>2374</v>
      </c>
      <c r="AA144" t="s">
        <v>2375</v>
      </c>
      <c r="AB144" t="s">
        <v>2376</v>
      </c>
      <c r="AC144" t="s">
        <v>2377</v>
      </c>
      <c r="AD144" t="s">
        <v>1973</v>
      </c>
      <c r="AE144" t="s">
        <v>2378</v>
      </c>
      <c r="AF144" t="s">
        <v>2379</v>
      </c>
      <c r="AG144" t="s">
        <v>2380</v>
      </c>
      <c r="AH144" t="s">
        <v>1842</v>
      </c>
    </row>
    <row r="145" spans="3:3">
      <c r="C145" s="448" t="s">
        <v>530</v>
      </c>
    </row>
    <row r="146" spans="3:3">
      <c r="C146" s="448" t="s">
        <v>524</v>
      </c>
    </row>
    <row r="147" spans="3:3">
      <c r="C147" s="448" t="s">
        <v>2359</v>
      </c>
    </row>
    <row r="148" spans="3:3">
      <c r="C148" s="448" t="s">
        <v>2360</v>
      </c>
    </row>
    <row r="149" spans="3:3">
      <c r="C149" s="448" t="s">
        <v>1843</v>
      </c>
    </row>
    <row r="150" spans="3:3">
      <c r="C150" s="448" t="s">
        <v>2361</v>
      </c>
    </row>
    <row r="151" spans="3:3">
      <c r="C151" s="448" t="s">
        <v>2362</v>
      </c>
    </row>
    <row r="152" spans="3:3">
      <c r="C152" s="448" t="s">
        <v>2363</v>
      </c>
    </row>
    <row r="153" spans="3:3">
      <c r="C153" s="448" t="s">
        <v>2364</v>
      </c>
    </row>
    <row r="154" spans="3:3">
      <c r="C154" s="448" t="s">
        <v>2365</v>
      </c>
    </row>
    <row r="155" spans="3:3">
      <c r="C155" s="448" t="s">
        <v>2366</v>
      </c>
    </row>
    <row r="156" spans="3:3">
      <c r="C156" s="448" t="s">
        <v>2367</v>
      </c>
    </row>
    <row r="157" spans="3:3">
      <c r="C157" s="448" t="s">
        <v>2368</v>
      </c>
    </row>
    <row r="158" spans="3:3">
      <c r="C158" s="448" t="s">
        <v>1840</v>
      </c>
    </row>
    <row r="159" spans="3:3">
      <c r="C159" s="448" t="s">
        <v>1841</v>
      </c>
    </row>
    <row r="160" spans="3:3">
      <c r="C160" s="448" t="s">
        <v>2369</v>
      </c>
    </row>
    <row r="161" spans="3:3">
      <c r="C161" s="448" t="s">
        <v>2370</v>
      </c>
    </row>
    <row r="162" spans="3:3">
      <c r="C162" s="448" t="s">
        <v>2371</v>
      </c>
    </row>
    <row r="163" spans="3:3">
      <c r="C163" s="448" t="s">
        <v>2372</v>
      </c>
    </row>
    <row r="164" spans="3:3">
      <c r="C164" s="448" t="s">
        <v>2373</v>
      </c>
    </row>
    <row r="165" spans="3:3">
      <c r="C165" s="448" t="s">
        <v>2374</v>
      </c>
    </row>
    <row r="166" spans="3:3">
      <c r="C166" s="448" t="s">
        <v>2375</v>
      </c>
    </row>
    <row r="167" spans="3:3">
      <c r="C167" s="448" t="s">
        <v>2376</v>
      </c>
    </row>
    <row r="168" spans="3:3">
      <c r="C168" s="448" t="s">
        <v>2377</v>
      </c>
    </row>
    <row r="169" spans="3:3">
      <c r="C169" s="448" t="s">
        <v>1973</v>
      </c>
    </row>
    <row r="170" spans="3:3">
      <c r="C170" s="448" t="s">
        <v>2378</v>
      </c>
    </row>
    <row r="171" spans="3:3">
      <c r="C171" s="448" t="s">
        <v>2379</v>
      </c>
    </row>
    <row r="172" spans="3:3">
      <c r="C172" s="448" t="s">
        <v>2380</v>
      </c>
    </row>
    <row r="173" spans="3:3">
      <c r="C173" s="448" t="s">
        <v>1842</v>
      </c>
    </row>
    <row r="174" spans="3:3">
      <c r="C174" s="448"/>
    </row>
    <row r="175" spans="3:3">
      <c r="C175" s="748" t="s">
        <v>2320</v>
      </c>
    </row>
    <row r="176" spans="3:3">
      <c r="C176" s="448" t="s">
        <v>2381</v>
      </c>
    </row>
    <row r="177" spans="3:3">
      <c r="C177" s="448" t="s">
        <v>2382</v>
      </c>
    </row>
    <row r="178" spans="3:3">
      <c r="C178" s="448" t="s">
        <v>2383</v>
      </c>
    </row>
    <row r="179" spans="3:3">
      <c r="C179" s="448" t="s">
        <v>2384</v>
      </c>
    </row>
    <row r="180" spans="3:3">
      <c r="C180" s="448" t="s">
        <v>2385</v>
      </c>
    </row>
    <row r="181" spans="3:3">
      <c r="C181" s="448" t="s">
        <v>2386</v>
      </c>
    </row>
    <row r="182" spans="3:3">
      <c r="C182" s="448"/>
    </row>
    <row r="183" spans="3:3">
      <c r="C183" s="748" t="s">
        <v>2321</v>
      </c>
    </row>
    <row r="184" spans="3:3">
      <c r="C184" s="448" t="s">
        <v>2387</v>
      </c>
    </row>
    <row r="185" spans="3:3">
      <c r="C185" s="448" t="s">
        <v>2388</v>
      </c>
    </row>
    <row r="186" spans="3:3">
      <c r="C186" s="448" t="s">
        <v>2389</v>
      </c>
    </row>
    <row r="187" spans="3:3">
      <c r="C187" s="448" t="s">
        <v>2390</v>
      </c>
    </row>
    <row r="188" spans="3:3">
      <c r="C188" s="448" t="s">
        <v>2391</v>
      </c>
    </row>
    <row r="189" spans="3:3">
      <c r="C189" s="448" t="s">
        <v>2392</v>
      </c>
    </row>
    <row r="190" spans="3:3">
      <c r="C190" s="448" t="s">
        <v>2393</v>
      </c>
    </row>
    <row r="191" spans="3:3">
      <c r="C191" s="448" t="s">
        <v>2394</v>
      </c>
    </row>
    <row r="192" spans="3:3">
      <c r="C192" s="448" t="s">
        <v>2395</v>
      </c>
    </row>
    <row r="193" spans="3:3">
      <c r="C193" s="448" t="s">
        <v>2396</v>
      </c>
    </row>
    <row r="194" spans="3:3">
      <c r="C194" s="448" t="s">
        <v>2397</v>
      </c>
    </row>
    <row r="195" spans="3:3">
      <c r="C195" s="448" t="s">
        <v>2398</v>
      </c>
    </row>
    <row r="196" spans="3:3">
      <c r="C196" s="448" t="s">
        <v>2399</v>
      </c>
    </row>
    <row r="197" spans="3:3">
      <c r="C197" s="448" t="s">
        <v>2400</v>
      </c>
    </row>
    <row r="198" spans="3:3">
      <c r="C198" s="448" t="s">
        <v>2401</v>
      </c>
    </row>
    <row r="199" spans="3:3">
      <c r="C199" s="448" t="s">
        <v>2402</v>
      </c>
    </row>
    <row r="200" spans="3:3">
      <c r="C200" s="448" t="s">
        <v>2403</v>
      </c>
    </row>
    <row r="201" spans="3:3">
      <c r="C201" s="448" t="s">
        <v>2404</v>
      </c>
    </row>
    <row r="202" spans="3:3">
      <c r="C202" s="448" t="s">
        <v>2405</v>
      </c>
    </row>
    <row r="203" spans="3:3">
      <c r="C203" s="448" t="s">
        <v>2406</v>
      </c>
    </row>
    <row r="204" spans="3:3">
      <c r="C204" s="448" t="s">
        <v>2407</v>
      </c>
    </row>
    <row r="205" spans="3:3">
      <c r="C205" s="448" t="s">
        <v>2408</v>
      </c>
    </row>
    <row r="206" spans="3:3">
      <c r="C206" s="448" t="s">
        <v>2409</v>
      </c>
    </row>
    <row r="207" spans="3:3">
      <c r="C207" s="448" t="s">
        <v>2410</v>
      </c>
    </row>
    <row r="208" spans="3:3">
      <c r="C208" s="448" t="s">
        <v>2411</v>
      </c>
    </row>
    <row r="209" spans="3:3">
      <c r="C209" s="448" t="s">
        <v>2412</v>
      </c>
    </row>
    <row r="210" spans="3:3">
      <c r="C210" s="448" t="s">
        <v>2413</v>
      </c>
    </row>
    <row r="211" spans="3:3">
      <c r="C211" s="448" t="s">
        <v>2414</v>
      </c>
    </row>
    <row r="212" spans="3:3">
      <c r="C212" s="448" t="s">
        <v>2415</v>
      </c>
    </row>
    <row r="213" spans="3:3">
      <c r="C213" s="448" t="s">
        <v>2416</v>
      </c>
    </row>
    <row r="214" spans="3:3">
      <c r="C214" s="448" t="s">
        <v>2417</v>
      </c>
    </row>
    <row r="215" spans="3:3">
      <c r="C215" s="448" t="s">
        <v>2418</v>
      </c>
    </row>
    <row r="216" spans="3:3">
      <c r="C216" s="448" t="s">
        <v>2419</v>
      </c>
    </row>
    <row r="217" spans="3:3">
      <c r="C217" s="448" t="s">
        <v>2420</v>
      </c>
    </row>
    <row r="218" spans="3:3">
      <c r="C218" s="448" t="s">
        <v>2421</v>
      </c>
    </row>
    <row r="219" spans="3:3">
      <c r="C219" s="448" t="s">
        <v>2422</v>
      </c>
    </row>
    <row r="220" spans="3:3">
      <c r="C220" s="448" t="s">
        <v>2423</v>
      </c>
    </row>
    <row r="221" spans="3:3">
      <c r="C221" s="448" t="s">
        <v>2424</v>
      </c>
    </row>
    <row r="222" spans="3:3">
      <c r="C222" s="448" t="s">
        <v>2425</v>
      </c>
    </row>
    <row r="223" spans="3:3">
      <c r="C223" s="448"/>
    </row>
    <row r="224" spans="3:3">
      <c r="C224" s="448" t="s">
        <v>2426</v>
      </c>
    </row>
    <row r="225" spans="3:5">
      <c r="C225" s="448" t="s">
        <v>2427</v>
      </c>
    </row>
    <row r="226" spans="3:5">
      <c r="C226" s="448" t="s">
        <v>2428</v>
      </c>
    </row>
    <row r="227" spans="3:5">
      <c r="C227" s="448" t="s">
        <v>2429</v>
      </c>
    </row>
    <row r="228" spans="3:5">
      <c r="C228" s="448" t="s">
        <v>2430</v>
      </c>
    </row>
    <row r="229" spans="3:5">
      <c r="C229" s="448" t="s">
        <v>2431</v>
      </c>
    </row>
    <row r="230" spans="3:5">
      <c r="C230" s="448" t="s">
        <v>2432</v>
      </c>
    </row>
    <row r="231" spans="3:5">
      <c r="C231" s="448" t="s">
        <v>2433</v>
      </c>
    </row>
    <row r="232" spans="3:5">
      <c r="C232" s="448" t="s">
        <v>2434</v>
      </c>
      <c r="E232" s="9"/>
    </row>
    <row r="233" spans="3:5">
      <c r="C233" s="448"/>
    </row>
    <row r="234" spans="3:5">
      <c r="C234" s="448" t="s">
        <v>204</v>
      </c>
    </row>
    <row r="235" spans="3:5">
      <c r="C235" s="448" t="s">
        <v>205</v>
      </c>
    </row>
    <row r="236" spans="3:5">
      <c r="C236" s="448" t="s">
        <v>206</v>
      </c>
    </row>
    <row r="237" spans="3:5">
      <c r="C237" s="448" t="s">
        <v>207</v>
      </c>
    </row>
    <row r="238" spans="3:5">
      <c r="C238" s="448" t="s">
        <v>208</v>
      </c>
    </row>
    <row r="239" spans="3:5">
      <c r="C239" s="448">
        <v>0</v>
      </c>
    </row>
    <row r="240" spans="3:5">
      <c r="C240" s="448">
        <v>0</v>
      </c>
    </row>
    <row r="241" spans="3:3">
      <c r="C241" s="448" t="s">
        <v>209</v>
      </c>
    </row>
    <row r="242" spans="3:3">
      <c r="C242" s="448" t="s">
        <v>210</v>
      </c>
    </row>
    <row r="243" spans="3:3">
      <c r="C243" s="448" t="s">
        <v>211</v>
      </c>
    </row>
    <row r="244" spans="3:3">
      <c r="C244" s="448"/>
    </row>
    <row r="245" spans="3:3">
      <c r="C245" s="448"/>
    </row>
    <row r="246" spans="3:3">
      <c r="C246" s="448" t="s">
        <v>2435</v>
      </c>
    </row>
    <row r="247" spans="3:3">
      <c r="C247" s="448" t="s">
        <v>2436</v>
      </c>
    </row>
    <row r="248" spans="3:3">
      <c r="C248" s="448" t="s">
        <v>2437</v>
      </c>
    </row>
    <row r="249" spans="3:3">
      <c r="C249" s="448" t="s">
        <v>2438</v>
      </c>
    </row>
    <row r="250" spans="3:3">
      <c r="C250" s="448" t="s">
        <v>2439</v>
      </c>
    </row>
    <row r="251" spans="3:3">
      <c r="C251" s="448" t="s">
        <v>2440</v>
      </c>
    </row>
    <row r="252" spans="3:3">
      <c r="C252" s="448" t="s">
        <v>2441</v>
      </c>
    </row>
    <row r="253" spans="3:3">
      <c r="C253" s="448" t="s">
        <v>2442</v>
      </c>
    </row>
    <row r="254" spans="3:3">
      <c r="C254" s="448" t="s">
        <v>2443</v>
      </c>
    </row>
    <row r="255" spans="3:3">
      <c r="C255" s="448" t="s">
        <v>2444</v>
      </c>
    </row>
    <row r="256" spans="3:3">
      <c r="C256" s="448" t="s">
        <v>2445</v>
      </c>
    </row>
    <row r="257" spans="3:3">
      <c r="C257" s="448" t="s">
        <v>2446</v>
      </c>
    </row>
    <row r="258" spans="3:3">
      <c r="C258" s="448" t="s">
        <v>2447</v>
      </c>
    </row>
    <row r="259" spans="3:3">
      <c r="C259" s="448" t="s">
        <v>2448</v>
      </c>
    </row>
    <row r="260" spans="3:3">
      <c r="C260" s="448" t="s">
        <v>2449</v>
      </c>
    </row>
    <row r="261" spans="3:3">
      <c r="C261" s="448" t="s">
        <v>2450</v>
      </c>
    </row>
    <row r="262" spans="3:3">
      <c r="C262" s="448" t="s">
        <v>2451</v>
      </c>
    </row>
    <row r="263" spans="3:3">
      <c r="C263" s="448" t="s">
        <v>2452</v>
      </c>
    </row>
    <row r="264" spans="3:3">
      <c r="C264" s="448" t="s">
        <v>2453</v>
      </c>
    </row>
    <row r="265" spans="3:3">
      <c r="C265" s="448" t="s">
        <v>2454</v>
      </c>
    </row>
    <row r="266" spans="3:3">
      <c r="C266" s="448" t="s">
        <v>2455</v>
      </c>
    </row>
    <row r="267" spans="3:3">
      <c r="C267" s="448" t="s">
        <v>2456</v>
      </c>
    </row>
    <row r="268" spans="3:3">
      <c r="C268" s="448" t="s">
        <v>2457</v>
      </c>
    </row>
    <row r="269" spans="3:3">
      <c r="C269" s="448" t="s">
        <v>2458</v>
      </c>
    </row>
    <row r="270" spans="3:3">
      <c r="C270" s="448" t="s">
        <v>2459</v>
      </c>
    </row>
    <row r="271" spans="3:3">
      <c r="C271" s="448" t="s">
        <v>2460</v>
      </c>
    </row>
    <row r="272" spans="3:3">
      <c r="C272" s="448" t="s">
        <v>2461</v>
      </c>
    </row>
    <row r="273" spans="3:13">
      <c r="C273" s="448" t="s">
        <v>2462</v>
      </c>
    </row>
    <row r="274" spans="3:13">
      <c r="C274" s="448" t="s">
        <v>2463</v>
      </c>
    </row>
    <row r="275" spans="3:13">
      <c r="C275" s="448" t="s">
        <v>2464</v>
      </c>
    </row>
    <row r="276" spans="3:13">
      <c r="C276" s="448" t="s">
        <v>2465</v>
      </c>
    </row>
    <row r="277" spans="3:13">
      <c r="C277" s="448" t="s">
        <v>2466</v>
      </c>
    </row>
    <row r="278" spans="3:13">
      <c r="C278" s="448" t="s">
        <v>2467</v>
      </c>
    </row>
    <row r="279" spans="3:13">
      <c r="C279" s="448"/>
    </row>
    <row r="280" spans="3:13">
      <c r="C280" s="448" t="s">
        <v>263</v>
      </c>
    </row>
    <row r="281" spans="3:13">
      <c r="C281" s="448"/>
    </row>
    <row r="282" spans="3:13">
      <c r="C282" s="448" t="s">
        <v>39</v>
      </c>
    </row>
    <row r="283" spans="3:13">
      <c r="C283" s="448" t="s">
        <v>42</v>
      </c>
      <c r="D283" t="s">
        <v>39</v>
      </c>
      <c r="E283" t="s">
        <v>42</v>
      </c>
      <c r="F283" t="s">
        <v>33</v>
      </c>
      <c r="G283" t="s">
        <v>36</v>
      </c>
      <c r="H283" t="s">
        <v>45</v>
      </c>
      <c r="I283" t="s">
        <v>48</v>
      </c>
      <c r="J283" t="s">
        <v>51</v>
      </c>
      <c r="K283" t="s">
        <v>54</v>
      </c>
      <c r="L283" t="s">
        <v>57</v>
      </c>
      <c r="M283" t="s">
        <v>66</v>
      </c>
    </row>
    <row r="284" spans="3:13">
      <c r="C284" s="448" t="s">
        <v>33</v>
      </c>
    </row>
    <row r="285" spans="3:13">
      <c r="C285" s="448" t="s">
        <v>36</v>
      </c>
    </row>
    <row r="286" spans="3:13">
      <c r="C286" s="448" t="s">
        <v>45</v>
      </c>
    </row>
    <row r="287" spans="3:13">
      <c r="C287" s="448" t="s">
        <v>48</v>
      </c>
    </row>
    <row r="288" spans="3:13">
      <c r="C288" s="448" t="s">
        <v>51</v>
      </c>
    </row>
    <row r="289" spans="3:3">
      <c r="C289" s="448" t="s">
        <v>54</v>
      </c>
    </row>
    <row r="290" spans="3:3">
      <c r="C290" s="448" t="s">
        <v>57</v>
      </c>
    </row>
    <row r="291" spans="3:3">
      <c r="C291" s="448" t="s">
        <v>66</v>
      </c>
    </row>
    <row r="292" spans="3:3">
      <c r="C292" s="448" t="s">
        <v>23</v>
      </c>
    </row>
    <row r="293" spans="3:3">
      <c r="C293" s="448" t="s">
        <v>2322</v>
      </c>
    </row>
    <row r="294" spans="3:3">
      <c r="C294" s="448" t="s">
        <v>2323</v>
      </c>
    </row>
    <row r="295" spans="3:3">
      <c r="C295" s="448" t="s">
        <v>27</v>
      </c>
    </row>
    <row r="296" spans="3:3">
      <c r="C296" s="448" t="s">
        <v>30</v>
      </c>
    </row>
    <row r="297" spans="3:3">
      <c r="C297" s="448" t="s">
        <v>60</v>
      </c>
    </row>
    <row r="298" spans="3:3">
      <c r="C298" s="448" t="s">
        <v>61</v>
      </c>
    </row>
    <row r="299" spans="3:3">
      <c r="C299" s="448" t="s">
        <v>62</v>
      </c>
    </row>
    <row r="300" spans="3:3">
      <c r="C300" s="448" t="s">
        <v>63</v>
      </c>
    </row>
    <row r="301" spans="3:3">
      <c r="C301" s="448" t="s">
        <v>33</v>
      </c>
    </row>
    <row r="302" spans="3:3">
      <c r="C302" s="448" t="s">
        <v>36</v>
      </c>
    </row>
    <row r="303" spans="3:3">
      <c r="C303" s="448" t="s">
        <v>66</v>
      </c>
    </row>
    <row r="304" spans="3:3">
      <c r="C304" s="448" t="s">
        <v>64</v>
      </c>
    </row>
    <row r="305" spans="3:3">
      <c r="C305" s="448" t="s">
        <v>65</v>
      </c>
    </row>
    <row r="306" spans="3:3">
      <c r="C306" s="448" t="s">
        <v>2324</v>
      </c>
    </row>
    <row r="307" spans="3:3">
      <c r="C307" s="448" t="s">
        <v>66</v>
      </c>
    </row>
    <row r="308" spans="3:3">
      <c r="C308" s="448"/>
    </row>
    <row r="309" spans="3:3">
      <c r="C309" s="448"/>
    </row>
    <row r="310" spans="3:3">
      <c r="C310" s="448" t="s">
        <v>1730</v>
      </c>
    </row>
    <row r="311" spans="3:3">
      <c r="C311" s="448" t="s">
        <v>1731</v>
      </c>
    </row>
    <row r="312" spans="3:3">
      <c r="C312" s="448" t="s">
        <v>1732</v>
      </c>
    </row>
    <row r="313" spans="3:3">
      <c r="C313" s="448" t="s">
        <v>1733</v>
      </c>
    </row>
    <row r="314" spans="3:3">
      <c r="C314" s="448" t="s">
        <v>1734</v>
      </c>
    </row>
    <row r="315" spans="3:3">
      <c r="C315" s="448" t="s">
        <v>1735</v>
      </c>
    </row>
    <row r="316" spans="3:3">
      <c r="C316" s="448" t="s">
        <v>1736</v>
      </c>
    </row>
    <row r="317" spans="3:3">
      <c r="C317" s="448" t="s">
        <v>1737</v>
      </c>
    </row>
    <row r="318" spans="3:3">
      <c r="C318" s="448"/>
    </row>
    <row r="319" spans="3:3">
      <c r="C319" s="448" t="s">
        <v>1740</v>
      </c>
    </row>
    <row r="320" spans="3:3">
      <c r="C320" s="448" t="s">
        <v>1741</v>
      </c>
    </row>
    <row r="321" spans="3:3">
      <c r="C321" s="448" t="s">
        <v>1742</v>
      </c>
    </row>
    <row r="322" spans="3:3">
      <c r="C322" s="448" t="s">
        <v>1743</v>
      </c>
    </row>
    <row r="323" spans="3:3">
      <c r="C323" s="448" t="s">
        <v>1744</v>
      </c>
    </row>
    <row r="324" spans="3:3">
      <c r="C324" s="448"/>
    </row>
    <row r="325" spans="3:3">
      <c r="C325" s="448"/>
    </row>
    <row r="326" spans="3:3">
      <c r="C326" s="448"/>
    </row>
    <row r="327" spans="3:3">
      <c r="C327" s="448" t="s">
        <v>1746</v>
      </c>
    </row>
    <row r="328" spans="3:3">
      <c r="C328" s="448" t="s">
        <v>1747</v>
      </c>
    </row>
    <row r="329" spans="3:3">
      <c r="C329" s="448" t="s">
        <v>1748</v>
      </c>
    </row>
    <row r="330" spans="3:3">
      <c r="C330" s="448" t="s">
        <v>1749</v>
      </c>
    </row>
    <row r="331" spans="3:3">
      <c r="C331" s="448" t="s">
        <v>1750</v>
      </c>
    </row>
    <row r="332" spans="3:3">
      <c r="C332" s="448" t="s">
        <v>1751</v>
      </c>
    </row>
    <row r="333" spans="3:3">
      <c r="C333" s="448" t="s">
        <v>1752</v>
      </c>
    </row>
    <row r="334" spans="3:3">
      <c r="C334" s="448" t="s">
        <v>1753</v>
      </c>
    </row>
    <row r="335" spans="3:3">
      <c r="C335" s="448" t="s">
        <v>1754</v>
      </c>
    </row>
    <row r="336" spans="3:3">
      <c r="C336" s="448" t="s">
        <v>1755</v>
      </c>
    </row>
    <row r="337" spans="3:11">
      <c r="C337" s="448" t="s">
        <v>1756</v>
      </c>
    </row>
    <row r="338" spans="3:11">
      <c r="C338" s="448" t="s">
        <v>1757</v>
      </c>
    </row>
    <row r="339" spans="3:11">
      <c r="C339" s="448"/>
    </row>
    <row r="340" spans="3:11">
      <c r="C340" s="448"/>
    </row>
    <row r="341" spans="3:11">
      <c r="C341" s="448" t="s">
        <v>1759</v>
      </c>
    </row>
    <row r="342" spans="3:11">
      <c r="C342" s="448" t="s">
        <v>1760</v>
      </c>
    </row>
    <row r="343" spans="3:11">
      <c r="C343" s="448" t="s">
        <v>1761</v>
      </c>
    </row>
    <row r="344" spans="3:11">
      <c r="C344" s="448"/>
    </row>
    <row r="345" spans="3:11">
      <c r="C345" s="448"/>
    </row>
    <row r="346" spans="3:11">
      <c r="C346" s="448" t="s">
        <v>101</v>
      </c>
      <c r="E346" t="s">
        <v>101</v>
      </c>
      <c r="F346" t="s">
        <v>102</v>
      </c>
      <c r="G346" t="s">
        <v>103</v>
      </c>
      <c r="H346" t="s">
        <v>104</v>
      </c>
      <c r="I346" t="s">
        <v>105</v>
      </c>
      <c r="J346" t="s">
        <v>106</v>
      </c>
      <c r="K346" t="s">
        <v>107</v>
      </c>
    </row>
    <row r="347" spans="3:11">
      <c r="C347" s="448" t="s">
        <v>102</v>
      </c>
    </row>
    <row r="348" spans="3:11">
      <c r="C348" s="448" t="s">
        <v>103</v>
      </c>
    </row>
    <row r="349" spans="3:11">
      <c r="C349" s="448" t="s">
        <v>104</v>
      </c>
    </row>
    <row r="350" spans="3:11">
      <c r="C350" s="448" t="s">
        <v>105</v>
      </c>
    </row>
    <row r="351" spans="3:11">
      <c r="C351" s="448" t="s">
        <v>106</v>
      </c>
    </row>
    <row r="352" spans="3:11">
      <c r="C352" s="448" t="s">
        <v>107</v>
      </c>
    </row>
    <row r="354" spans="3:15">
      <c r="C354" s="448" t="s">
        <v>235</v>
      </c>
      <c r="E354" t="s">
        <v>235</v>
      </c>
      <c r="F354" t="s">
        <v>1868</v>
      </c>
      <c r="G354" t="s">
        <v>1869</v>
      </c>
      <c r="H354" t="s">
        <v>1870</v>
      </c>
      <c r="I354" t="s">
        <v>1871</v>
      </c>
      <c r="J354" t="s">
        <v>1872</v>
      </c>
      <c r="K354" t="s">
        <v>1873</v>
      </c>
      <c r="L354" t="s">
        <v>1874</v>
      </c>
      <c r="M354" t="s">
        <v>1875</v>
      </c>
      <c r="N354" t="s">
        <v>1876</v>
      </c>
      <c r="O354" t="s">
        <v>1877</v>
      </c>
    </row>
    <row r="355" spans="3:15">
      <c r="C355" s="448" t="s">
        <v>1868</v>
      </c>
    </row>
    <row r="356" spans="3:15">
      <c r="C356" s="448" t="s">
        <v>1869</v>
      </c>
    </row>
    <row r="357" spans="3:15">
      <c r="C357" s="448" t="s">
        <v>1870</v>
      </c>
    </row>
    <row r="358" spans="3:15">
      <c r="C358" s="448" t="s">
        <v>1871</v>
      </c>
    </row>
    <row r="359" spans="3:15">
      <c r="C359" s="448" t="s">
        <v>1872</v>
      </c>
    </row>
    <row r="360" spans="3:15">
      <c r="C360" s="448" t="s">
        <v>1873</v>
      </c>
    </row>
    <row r="361" spans="3:15">
      <c r="C361" s="448" t="s">
        <v>1874</v>
      </c>
    </row>
    <row r="362" spans="3:15">
      <c r="C362" s="448" t="s">
        <v>1875</v>
      </c>
    </row>
    <row r="363" spans="3:15">
      <c r="C363" s="448" t="s">
        <v>1876</v>
      </c>
    </row>
    <row r="364" spans="3:15">
      <c r="C364" s="448" t="s">
        <v>1877</v>
      </c>
    </row>
    <row r="365" spans="3:15">
      <c r="C365" s="448" t="s">
        <v>1889</v>
      </c>
    </row>
    <row r="366" spans="3:15">
      <c r="C366" s="448" t="s">
        <v>1884</v>
      </c>
      <c r="E366" t="s">
        <v>1889</v>
      </c>
      <c r="F366" t="s">
        <v>1884</v>
      </c>
      <c r="G366" t="s">
        <v>1885</v>
      </c>
      <c r="H366" t="s">
        <v>1883</v>
      </c>
      <c r="I366" t="s">
        <v>1886</v>
      </c>
      <c r="J366" t="s">
        <v>1887</v>
      </c>
      <c r="K366" t="s">
        <v>1888</v>
      </c>
    </row>
    <row r="367" spans="3:15">
      <c r="C367" s="448" t="s">
        <v>1885</v>
      </c>
    </row>
    <row r="368" spans="3:15">
      <c r="C368" s="448" t="s">
        <v>1883</v>
      </c>
    </row>
    <row r="369" spans="3:12">
      <c r="C369" s="448" t="s">
        <v>1886</v>
      </c>
    </row>
    <row r="370" spans="3:12">
      <c r="C370" s="448" t="s">
        <v>1887</v>
      </c>
    </row>
    <row r="371" spans="3:12">
      <c r="C371" s="448" t="s">
        <v>1888</v>
      </c>
    </row>
    <row r="372" spans="3:12">
      <c r="C372" s="448" t="s">
        <v>1911</v>
      </c>
      <c r="E372" t="s">
        <v>1911</v>
      </c>
      <c r="F372" t="s">
        <v>1912</v>
      </c>
      <c r="G372" t="s">
        <v>1913</v>
      </c>
      <c r="H372" t="s">
        <v>1914</v>
      </c>
      <c r="I372" t="s">
        <v>1915</v>
      </c>
      <c r="J372" t="s">
        <v>1916</v>
      </c>
      <c r="K372" t="s">
        <v>1917</v>
      </c>
    </row>
    <row r="373" spans="3:12">
      <c r="C373" s="448" t="s">
        <v>1912</v>
      </c>
    </row>
    <row r="374" spans="3:12">
      <c r="C374" s="448" t="s">
        <v>1913</v>
      </c>
    </row>
    <row r="375" spans="3:12">
      <c r="C375" s="448" t="s">
        <v>1914</v>
      </c>
    </row>
    <row r="376" spans="3:12">
      <c r="C376" s="448" t="s">
        <v>1915</v>
      </c>
    </row>
    <row r="377" spans="3:12">
      <c r="C377" s="448" t="s">
        <v>1916</v>
      </c>
    </row>
    <row r="378" spans="3:12">
      <c r="C378" s="448" t="s">
        <v>1917</v>
      </c>
    </row>
    <row r="379" spans="3:12">
      <c r="C379" s="448" t="s">
        <v>1922</v>
      </c>
    </row>
    <row r="380" spans="3:12">
      <c r="C380" s="448" t="s">
        <v>1923</v>
      </c>
    </row>
    <row r="381" spans="3:12">
      <c r="C381" s="448" t="s">
        <v>1964</v>
      </c>
    </row>
    <row r="382" spans="3:12">
      <c r="C382" s="448" t="s">
        <v>2468</v>
      </c>
    </row>
    <row r="383" spans="3:12">
      <c r="C383" s="448" t="s">
        <v>2469</v>
      </c>
    </row>
    <row r="384" spans="3:12">
      <c r="C384" s="448" t="s">
        <v>1894</v>
      </c>
      <c r="E384" t="s">
        <v>1894</v>
      </c>
      <c r="F384" t="s">
        <v>1895</v>
      </c>
      <c r="G384" t="s">
        <v>1896</v>
      </c>
      <c r="H384" t="s">
        <v>1897</v>
      </c>
      <c r="I384" t="s">
        <v>1898</v>
      </c>
      <c r="J384" t="s">
        <v>1899</v>
      </c>
      <c r="K384" t="s">
        <v>1900</v>
      </c>
      <c r="L384" t="s">
        <v>1901</v>
      </c>
    </row>
    <row r="385" spans="3:3">
      <c r="C385" s="448" t="s">
        <v>1895</v>
      </c>
    </row>
    <row r="386" spans="3:3">
      <c r="C386" s="448" t="s">
        <v>1896</v>
      </c>
    </row>
    <row r="387" spans="3:3">
      <c r="C387" s="448" t="s">
        <v>1897</v>
      </c>
    </row>
    <row r="388" spans="3:3">
      <c r="C388" s="448" t="s">
        <v>1898</v>
      </c>
    </row>
    <row r="389" spans="3:3">
      <c r="C389" s="448" t="s">
        <v>1899</v>
      </c>
    </row>
    <row r="390" spans="3:3">
      <c r="C390" s="448" t="s">
        <v>1900</v>
      </c>
    </row>
    <row r="391" spans="3:3">
      <c r="C391" s="448" t="s">
        <v>1901</v>
      </c>
    </row>
    <row r="392" spans="3:3">
      <c r="C392" s="448" t="s">
        <v>1236</v>
      </c>
    </row>
    <row r="393" spans="3:3">
      <c r="C393" s="448" t="s">
        <v>1238</v>
      </c>
    </row>
    <row r="394" spans="3:3">
      <c r="C394" s="448" t="s">
        <v>1240</v>
      </c>
    </row>
    <row r="396" spans="3:3">
      <c r="C396" s="748" t="s">
        <v>2325</v>
      </c>
    </row>
    <row r="397" spans="3:3">
      <c r="C397" s="448" t="s">
        <v>156</v>
      </c>
    </row>
    <row r="398" spans="3:3">
      <c r="C398" s="448" t="s">
        <v>157</v>
      </c>
    </row>
    <row r="399" spans="3:3">
      <c r="C399" s="448" t="s">
        <v>158</v>
      </c>
    </row>
    <row r="400" spans="3:3">
      <c r="C400" s="448"/>
    </row>
    <row r="401" spans="3:20">
      <c r="C401" s="748" t="s">
        <v>244</v>
      </c>
    </row>
    <row r="402" spans="3:20">
      <c r="C402" s="448" t="s">
        <v>2470</v>
      </c>
    </row>
    <row r="403" spans="3:20">
      <c r="C403" s="448" t="s">
        <v>2471</v>
      </c>
    </row>
    <row r="404" spans="3:20">
      <c r="C404" s="448" t="s">
        <v>2472</v>
      </c>
    </row>
    <row r="405" spans="3:20">
      <c r="C405" s="448" t="s">
        <v>2473</v>
      </c>
    </row>
    <row r="406" spans="3:20">
      <c r="C406" s="448"/>
    </row>
    <row r="407" spans="3:20">
      <c r="C407" s="748" t="s">
        <v>2326</v>
      </c>
    </row>
    <row r="408" spans="3:20">
      <c r="C408" s="448" t="s">
        <v>293</v>
      </c>
    </row>
    <row r="409" spans="3:20">
      <c r="C409" s="448" t="s">
        <v>294</v>
      </c>
    </row>
    <row r="410" spans="3:20">
      <c r="C410" s="448" t="s">
        <v>295</v>
      </c>
    </row>
    <row r="411" spans="3:20">
      <c r="C411" s="448"/>
    </row>
    <row r="412" spans="3:20">
      <c r="C412" s="748" t="s">
        <v>2327</v>
      </c>
      <c r="E412" s="448" t="s">
        <v>2474</v>
      </c>
      <c r="F412" s="448" t="s">
        <v>2475</v>
      </c>
      <c r="G412" s="448" t="s">
        <v>2476</v>
      </c>
      <c r="H412" s="448" t="s">
        <v>2477</v>
      </c>
      <c r="I412" s="448" t="s">
        <v>2478</v>
      </c>
      <c r="J412" s="448" t="s">
        <v>2479</v>
      </c>
      <c r="K412" s="448" t="s">
        <v>2480</v>
      </c>
      <c r="L412" s="448" t="s">
        <v>2481</v>
      </c>
      <c r="M412" s="448" t="s">
        <v>2482</v>
      </c>
      <c r="N412" s="448" t="s">
        <v>2483</v>
      </c>
      <c r="O412" s="448" t="s">
        <v>2484</v>
      </c>
      <c r="P412" s="448" t="s">
        <v>2485</v>
      </c>
      <c r="Q412" s="448" t="s">
        <v>2486</v>
      </c>
      <c r="R412" s="448" t="s">
        <v>2487</v>
      </c>
      <c r="S412" s="448" t="s">
        <v>2488</v>
      </c>
      <c r="T412" s="448"/>
    </row>
    <row r="413" spans="3:20">
      <c r="C413" s="448" t="s">
        <v>2489</v>
      </c>
      <c r="E413" s="448" t="s">
        <v>2474</v>
      </c>
      <c r="G413" s="448" t="s">
        <v>187</v>
      </c>
    </row>
    <row r="414" spans="3:20">
      <c r="C414" s="448" t="s">
        <v>2490</v>
      </c>
      <c r="E414" s="448" t="s">
        <v>2475</v>
      </c>
      <c r="G414" s="448" t="s">
        <v>188</v>
      </c>
    </row>
    <row r="415" spans="3:20">
      <c r="C415" s="448" t="s">
        <v>2491</v>
      </c>
      <c r="E415" s="448" t="s">
        <v>2476</v>
      </c>
      <c r="G415" s="448" t="s">
        <v>189</v>
      </c>
    </row>
    <row r="416" spans="3:20">
      <c r="C416" s="448" t="s">
        <v>2492</v>
      </c>
      <c r="E416" s="448" t="s">
        <v>2477</v>
      </c>
      <c r="G416" s="448" t="s">
        <v>190</v>
      </c>
    </row>
    <row r="417" spans="3:7">
      <c r="C417" s="448" t="s">
        <v>2493</v>
      </c>
      <c r="E417" s="448" t="s">
        <v>2478</v>
      </c>
      <c r="G417" s="448"/>
    </row>
    <row r="418" spans="3:7">
      <c r="C418" s="448" t="s">
        <v>2494</v>
      </c>
      <c r="E418" s="448" t="s">
        <v>2479</v>
      </c>
    </row>
    <row r="419" spans="3:7">
      <c r="C419" s="448" t="s">
        <v>2495</v>
      </c>
      <c r="E419" s="448" t="s">
        <v>2480</v>
      </c>
    </row>
    <row r="420" spans="3:7">
      <c r="C420" s="448" t="s">
        <v>2496</v>
      </c>
      <c r="E420" s="448" t="s">
        <v>2481</v>
      </c>
    </row>
    <row r="421" spans="3:7">
      <c r="C421" s="448" t="s">
        <v>2497</v>
      </c>
      <c r="E421" s="448" t="s">
        <v>2482</v>
      </c>
    </row>
    <row r="422" spans="3:7">
      <c r="C422" s="448" t="s">
        <v>2498</v>
      </c>
      <c r="E422" s="448" t="s">
        <v>2483</v>
      </c>
    </row>
    <row r="423" spans="3:7">
      <c r="C423" s="448" t="s">
        <v>2499</v>
      </c>
      <c r="E423" s="448" t="s">
        <v>2484</v>
      </c>
    </row>
    <row r="424" spans="3:7">
      <c r="C424" s="448" t="s">
        <v>2500</v>
      </c>
      <c r="E424" s="448" t="s">
        <v>2485</v>
      </c>
    </row>
    <row r="425" spans="3:7">
      <c r="C425" s="448" t="s">
        <v>2501</v>
      </c>
      <c r="E425" s="448" t="s">
        <v>2486</v>
      </c>
    </row>
    <row r="426" spans="3:7">
      <c r="C426" s="448" t="s">
        <v>2502</v>
      </c>
      <c r="E426" s="448" t="s">
        <v>2487</v>
      </c>
    </row>
    <row r="427" spans="3:7">
      <c r="C427" s="448" t="s">
        <v>2503</v>
      </c>
      <c r="E427" s="448" t="s">
        <v>2488</v>
      </c>
    </row>
    <row r="428" spans="3:7">
      <c r="C428" s="448" t="s">
        <v>2504</v>
      </c>
    </row>
    <row r="429" spans="3:7">
      <c r="C429" s="448" t="s">
        <v>2505</v>
      </c>
    </row>
    <row r="430" spans="3:7">
      <c r="C430" s="448" t="s">
        <v>2506</v>
      </c>
    </row>
    <row r="431" spans="3:7">
      <c r="C431" s="448" t="s">
        <v>2507</v>
      </c>
    </row>
    <row r="432" spans="3:7">
      <c r="C432" s="448" t="s">
        <v>2508</v>
      </c>
    </row>
    <row r="433" spans="3:3">
      <c r="C433" s="448" t="s">
        <v>2509</v>
      </c>
    </row>
    <row r="434" spans="3:3">
      <c r="C434" s="448" t="s">
        <v>2510</v>
      </c>
    </row>
    <row r="435" spans="3:3">
      <c r="C435" s="448" t="s">
        <v>2511</v>
      </c>
    </row>
    <row r="436" spans="3:3">
      <c r="C436" s="448" t="s">
        <v>2512</v>
      </c>
    </row>
    <row r="437" spans="3:3">
      <c r="C437" s="448" t="s">
        <v>2513</v>
      </c>
    </row>
    <row r="438" spans="3:3">
      <c r="C438" s="448" t="s">
        <v>2514</v>
      </c>
    </row>
    <row r="439" spans="3:3">
      <c r="C439" s="448" t="s">
        <v>2515</v>
      </c>
    </row>
    <row r="440" spans="3:3">
      <c r="C440" s="448" t="s">
        <v>2516</v>
      </c>
    </row>
    <row r="441" spans="3:3">
      <c r="C441" s="448" t="s">
        <v>2517</v>
      </c>
    </row>
    <row r="442" spans="3:3">
      <c r="C442" s="448" t="s">
        <v>2518</v>
      </c>
    </row>
    <row r="443" spans="3:3">
      <c r="C443" s="448" t="s">
        <v>2519</v>
      </c>
    </row>
    <row r="444" spans="3:3">
      <c r="C444" s="448" t="s">
        <v>2520</v>
      </c>
    </row>
    <row r="445" spans="3:3">
      <c r="C445" s="448" t="s">
        <v>2521</v>
      </c>
    </row>
    <row r="446" spans="3:3">
      <c r="C446" s="448" t="s">
        <v>2522</v>
      </c>
    </row>
    <row r="447" spans="3:3">
      <c r="C447" s="448" t="s">
        <v>2523</v>
      </c>
    </row>
    <row r="448" spans="3:3">
      <c r="C448" s="448" t="s">
        <v>2524</v>
      </c>
    </row>
    <row r="449" spans="3:3">
      <c r="C449" s="448" t="s">
        <v>2525</v>
      </c>
    </row>
    <row r="450" spans="3:3">
      <c r="C450" s="448" t="s">
        <v>2526</v>
      </c>
    </row>
    <row r="451" spans="3:3">
      <c r="C451" s="448" t="s">
        <v>2527</v>
      </c>
    </row>
    <row r="452" spans="3:3">
      <c r="C452" s="448" t="s">
        <v>2528</v>
      </c>
    </row>
    <row r="453" spans="3:3">
      <c r="C453" s="448" t="s">
        <v>2529</v>
      </c>
    </row>
    <row r="454" spans="3:3">
      <c r="C454" s="448" t="s">
        <v>2530</v>
      </c>
    </row>
    <row r="455" spans="3:3">
      <c r="C455" s="448" t="s">
        <v>2531</v>
      </c>
    </row>
    <row r="456" spans="3:3">
      <c r="C456" s="448" t="s">
        <v>2532</v>
      </c>
    </row>
    <row r="457" spans="3:3">
      <c r="C457" s="448" t="s">
        <v>2533</v>
      </c>
    </row>
    <row r="458" spans="3:3">
      <c r="C458" s="448" t="s">
        <v>2534</v>
      </c>
    </row>
    <row r="459" spans="3:3">
      <c r="C459" s="448" t="s">
        <v>2535</v>
      </c>
    </row>
    <row r="460" spans="3:3">
      <c r="C460" s="448" t="s">
        <v>2536</v>
      </c>
    </row>
    <row r="461" spans="3:3">
      <c r="C461" s="448" t="s">
        <v>2537</v>
      </c>
    </row>
    <row r="462" spans="3:3">
      <c r="C462" s="448" t="s">
        <v>2538</v>
      </c>
    </row>
    <row r="463" spans="3:3">
      <c r="C463" s="448" t="s">
        <v>2539</v>
      </c>
    </row>
    <row r="464" spans="3:3">
      <c r="C464" s="448" t="s">
        <v>2540</v>
      </c>
    </row>
    <row r="465" spans="3:3">
      <c r="C465" s="448" t="s">
        <v>2541</v>
      </c>
    </row>
    <row r="466" spans="3:3">
      <c r="C466" s="448" t="s">
        <v>2542</v>
      </c>
    </row>
    <row r="467" spans="3:3">
      <c r="C467" s="448" t="s">
        <v>2543</v>
      </c>
    </row>
    <row r="468" spans="3:3">
      <c r="C468" s="448" t="s">
        <v>2544</v>
      </c>
    </row>
    <row r="469" spans="3:3">
      <c r="C469" s="448" t="s">
        <v>2545</v>
      </c>
    </row>
    <row r="470" spans="3:3">
      <c r="C470" s="448" t="s">
        <v>2546</v>
      </c>
    </row>
    <row r="471" spans="3:3">
      <c r="C471" s="448" t="s">
        <v>2547</v>
      </c>
    </row>
    <row r="472" spans="3:3">
      <c r="C472" s="448" t="s">
        <v>2548</v>
      </c>
    </row>
    <row r="473" spans="3:3">
      <c r="C473" s="448" t="s">
        <v>2549</v>
      </c>
    </row>
    <row r="474" spans="3:3">
      <c r="C474" s="448" t="s">
        <v>2550</v>
      </c>
    </row>
    <row r="475" spans="3:3">
      <c r="C475" s="448" t="s">
        <v>2551</v>
      </c>
    </row>
    <row r="476" spans="3:3">
      <c r="C476" s="448" t="s">
        <v>2552</v>
      </c>
    </row>
    <row r="477" spans="3:3">
      <c r="C477" s="448" t="s">
        <v>2553</v>
      </c>
    </row>
    <row r="478" spans="3:3">
      <c r="C478" s="448" t="s">
        <v>2554</v>
      </c>
    </row>
    <row r="479" spans="3:3">
      <c r="C479" s="448" t="s">
        <v>2555</v>
      </c>
    </row>
    <row r="480" spans="3:3">
      <c r="C480" s="448" t="s">
        <v>2556</v>
      </c>
    </row>
    <row r="481" spans="3:3">
      <c r="C481" s="448" t="s">
        <v>2557</v>
      </c>
    </row>
    <row r="482" spans="3:3">
      <c r="C482" s="448" t="s">
        <v>2558</v>
      </c>
    </row>
    <row r="483" spans="3:3">
      <c r="C483" s="448" t="s">
        <v>2559</v>
      </c>
    </row>
    <row r="484" spans="3:3">
      <c r="C484" s="448" t="s">
        <v>2560</v>
      </c>
    </row>
    <row r="485" spans="3:3">
      <c r="C485" s="448" t="s">
        <v>2561</v>
      </c>
    </row>
    <row r="486" spans="3:3">
      <c r="C486" s="448" t="s">
        <v>2562</v>
      </c>
    </row>
    <row r="487" spans="3:3">
      <c r="C487" s="448" t="s">
        <v>2563</v>
      </c>
    </row>
    <row r="488" spans="3:3">
      <c r="C488" s="448" t="s">
        <v>2564</v>
      </c>
    </row>
    <row r="489" spans="3:3">
      <c r="C489" s="448" t="s">
        <v>2565</v>
      </c>
    </row>
    <row r="490" spans="3:3">
      <c r="C490" s="448" t="s">
        <v>2566</v>
      </c>
    </row>
    <row r="491" spans="3:3">
      <c r="C491" s="448" t="s">
        <v>2567</v>
      </c>
    </row>
    <row r="492" spans="3:3">
      <c r="C492" s="448" t="s">
        <v>2568</v>
      </c>
    </row>
    <row r="493" spans="3:3">
      <c r="C493" s="448" t="s">
        <v>2569</v>
      </c>
    </row>
    <row r="494" spans="3:3">
      <c r="C494" s="448" t="s">
        <v>2570</v>
      </c>
    </row>
    <row r="495" spans="3:3">
      <c r="C495" s="448" t="s">
        <v>2571</v>
      </c>
    </row>
    <row r="496" spans="3:3">
      <c r="C496" s="448" t="s">
        <v>2572</v>
      </c>
    </row>
    <row r="497" spans="3:3">
      <c r="C497" s="448" t="s">
        <v>2573</v>
      </c>
    </row>
    <row r="498" spans="3:3">
      <c r="C498" s="448" t="s">
        <v>2574</v>
      </c>
    </row>
    <row r="499" spans="3:3">
      <c r="C499" s="448" t="s">
        <v>2575</v>
      </c>
    </row>
    <row r="500" spans="3:3">
      <c r="C500" s="448" t="s">
        <v>2576</v>
      </c>
    </row>
    <row r="501" spans="3:3">
      <c r="C501" s="448" t="s">
        <v>2577</v>
      </c>
    </row>
    <row r="502" spans="3:3">
      <c r="C502" s="448" t="s">
        <v>2578</v>
      </c>
    </row>
    <row r="503" spans="3:3">
      <c r="C503" s="448" t="s">
        <v>2579</v>
      </c>
    </row>
    <row r="504" spans="3:3">
      <c r="C504" s="448" t="s">
        <v>2580</v>
      </c>
    </row>
    <row r="505" spans="3:3">
      <c r="C505" s="448" t="s">
        <v>2581</v>
      </c>
    </row>
    <row r="506" spans="3:3">
      <c r="C506" s="448" t="s">
        <v>2582</v>
      </c>
    </row>
    <row r="507" spans="3:3">
      <c r="C507" s="448" t="s">
        <v>2583</v>
      </c>
    </row>
    <row r="508" spans="3:3">
      <c r="C508" s="448" t="s">
        <v>2584</v>
      </c>
    </row>
    <row r="509" spans="3:3">
      <c r="C509" s="448" t="s">
        <v>2585</v>
      </c>
    </row>
    <row r="510" spans="3:3">
      <c r="C510" s="448" t="s">
        <v>2586</v>
      </c>
    </row>
    <row r="511" spans="3:3">
      <c r="C511" s="448" t="s">
        <v>2587</v>
      </c>
    </row>
    <row r="512" spans="3:3">
      <c r="C512" s="448" t="s">
        <v>2588</v>
      </c>
    </row>
    <row r="513" spans="3:3">
      <c r="C513" s="448" t="s">
        <v>2589</v>
      </c>
    </row>
    <row r="514" spans="3:3">
      <c r="C514" s="448" t="s">
        <v>2590</v>
      </c>
    </row>
    <row r="515" spans="3:3">
      <c r="C515" s="448" t="s">
        <v>2591</v>
      </c>
    </row>
    <row r="516" spans="3:3">
      <c r="C516" s="448" t="s">
        <v>2592</v>
      </c>
    </row>
    <row r="517" spans="3:3">
      <c r="C517" s="448" t="s">
        <v>2593</v>
      </c>
    </row>
    <row r="518" spans="3:3">
      <c r="C518" s="448" t="s">
        <v>2594</v>
      </c>
    </row>
    <row r="519" spans="3:3">
      <c r="C519" s="448" t="s">
        <v>2595</v>
      </c>
    </row>
    <row r="520" spans="3:3">
      <c r="C520" s="448" t="s">
        <v>2596</v>
      </c>
    </row>
    <row r="521" spans="3:3">
      <c r="C521" s="448" t="s">
        <v>2597</v>
      </c>
    </row>
    <row r="522" spans="3:3">
      <c r="C522" s="448" t="s">
        <v>2598</v>
      </c>
    </row>
    <row r="523" spans="3:3">
      <c r="C523" s="448" t="s">
        <v>2599</v>
      </c>
    </row>
    <row r="524" spans="3:3">
      <c r="C524" s="448" t="s">
        <v>2600</v>
      </c>
    </row>
    <row r="525" spans="3:3">
      <c r="C525" s="448" t="s">
        <v>2601</v>
      </c>
    </row>
    <row r="526" spans="3:3">
      <c r="C526" s="448" t="s">
        <v>2602</v>
      </c>
    </row>
    <row r="527" spans="3:3">
      <c r="C527" s="448" t="s">
        <v>2603</v>
      </c>
    </row>
    <row r="528" spans="3:3">
      <c r="C528" s="448" t="s">
        <v>2604</v>
      </c>
    </row>
    <row r="529" spans="3:3">
      <c r="C529" s="448" t="s">
        <v>2605</v>
      </c>
    </row>
    <row r="530" spans="3:3">
      <c r="C530" s="448" t="s">
        <v>2606</v>
      </c>
    </row>
    <row r="531" spans="3:3">
      <c r="C531" s="448" t="s">
        <v>2607</v>
      </c>
    </row>
    <row r="532" spans="3:3">
      <c r="C532" s="448" t="s">
        <v>2608</v>
      </c>
    </row>
    <row r="533" spans="3:3">
      <c r="C533" s="448" t="s">
        <v>2609</v>
      </c>
    </row>
    <row r="534" spans="3:3">
      <c r="C534" s="448" t="s">
        <v>2610</v>
      </c>
    </row>
    <row r="535" spans="3:3">
      <c r="C535" s="448" t="s">
        <v>2611</v>
      </c>
    </row>
    <row r="536" spans="3:3">
      <c r="C536" s="448" t="s">
        <v>2612</v>
      </c>
    </row>
    <row r="537" spans="3:3">
      <c r="C537" s="448" t="s">
        <v>2613</v>
      </c>
    </row>
    <row r="538" spans="3:3">
      <c r="C538" s="448" t="s">
        <v>2614</v>
      </c>
    </row>
    <row r="539" spans="3:3">
      <c r="C539" s="448" t="s">
        <v>2615</v>
      </c>
    </row>
    <row r="540" spans="3:3">
      <c r="C540" s="448" t="s">
        <v>2616</v>
      </c>
    </row>
    <row r="541" spans="3:3">
      <c r="C541" s="448" t="s">
        <v>2617</v>
      </c>
    </row>
    <row r="542" spans="3:3">
      <c r="C542" s="448" t="s">
        <v>2618</v>
      </c>
    </row>
    <row r="543" spans="3:3">
      <c r="C543" s="448" t="s">
        <v>2619</v>
      </c>
    </row>
    <row r="544" spans="3:3">
      <c r="C544" s="448" t="s">
        <v>2620</v>
      </c>
    </row>
    <row r="545" spans="2:34">
      <c r="C545" s="448" t="s">
        <v>2621</v>
      </c>
    </row>
    <row r="546" spans="2:34">
      <c r="C546" s="448" t="s">
        <v>2622</v>
      </c>
    </row>
    <row r="547" spans="2:34">
      <c r="C547" s="448" t="s">
        <v>2623</v>
      </c>
    </row>
    <row r="548" spans="2:34">
      <c r="C548" s="448"/>
    </row>
    <row r="549" spans="2:34">
      <c r="C549" s="748" t="s">
        <v>70</v>
      </c>
    </row>
    <row r="550" spans="2:34">
      <c r="C550" s="448" t="s">
        <v>122</v>
      </c>
    </row>
    <row r="551" spans="2:34">
      <c r="C551" s="448" t="s">
        <v>123</v>
      </c>
    </row>
    <row r="553" spans="2:34">
      <c r="B553" s="477"/>
      <c r="C553" s="477"/>
      <c r="D553" s="477"/>
      <c r="E553" s="477"/>
      <c r="F553" s="477"/>
      <c r="G553" s="477"/>
      <c r="H553" s="477"/>
      <c r="I553" s="477"/>
      <c r="J553" s="477"/>
      <c r="K553" s="477"/>
      <c r="L553" s="477"/>
      <c r="M553" s="477"/>
      <c r="N553" s="477"/>
      <c r="O553" s="477"/>
      <c r="P553" s="477"/>
      <c r="Q553" s="477"/>
      <c r="R553" s="477"/>
      <c r="S553" s="477"/>
      <c r="T553" s="477"/>
      <c r="U553" s="477"/>
      <c r="V553" s="477"/>
      <c r="W553" s="477"/>
      <c r="X553" s="477"/>
      <c r="Y553" s="477"/>
      <c r="Z553" s="477"/>
      <c r="AA553" s="477"/>
      <c r="AB553" s="477"/>
      <c r="AC553" s="477"/>
      <c r="AD553" s="477"/>
      <c r="AE553" s="477"/>
      <c r="AF553" s="477"/>
      <c r="AG553" s="477"/>
      <c r="AH553" s="477"/>
    </row>
  </sheetData>
  <sheetProtection algorithmName="SHA-512" hashValue="8sYZX4OhN8716v40G5SmC/qCUaiEMSnpbyI+IuxmXVvMLWQf8iFVT5QVME5CUd1pY+cGCCeuXsbApz+GfqMOhQ==" saltValue="RG7AgNF6SxtZn7UUV51c/w==" spinCount="100000" sheet="1" objects="1" scenarios="1" autoFilter="0"/>
  <phoneticPr fontId="12" type="noConversion"/>
  <hyperlinks>
    <hyperlink ref="B3" location="CONTENTS" display="Contents" xr:uid="{B0EC5E7D-2044-4FD8-B5E9-77388E442879}"/>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C6D2-E68F-44AD-AD58-E604E4AC18E3}">
  <sheetPr codeName="Sheet2"/>
  <dimension ref="B2:K47"/>
  <sheetViews>
    <sheetView showGridLines="0" tabSelected="1" workbookViewId="0">
      <pane xSplit="1" ySplit="2" topLeftCell="B6" activePane="bottomRight" state="frozen"/>
      <selection pane="topRight" activeCell="B1" sqref="B1"/>
      <selection pane="bottomLeft" activeCell="A3" sqref="A3"/>
      <selection pane="bottomRight" activeCell="F44" sqref="F44"/>
    </sheetView>
  </sheetViews>
  <sheetFormatPr defaultColWidth="8.7109375" defaultRowHeight="12.75"/>
  <cols>
    <col min="1" max="1" width="3.5703125" customWidth="1"/>
    <col min="2" max="2" width="11" customWidth="1"/>
    <col min="3" max="3" width="12.5703125" customWidth="1"/>
    <col min="4" max="11" width="11" customWidth="1"/>
  </cols>
  <sheetData>
    <row r="2" spans="2:11" ht="20.100000000000001" customHeight="1">
      <c r="B2" s="752" t="s">
        <v>2328</v>
      </c>
      <c r="C2" s="753"/>
      <c r="D2" s="753"/>
      <c r="E2" s="753"/>
      <c r="F2" s="753"/>
      <c r="G2" s="753"/>
      <c r="H2" s="753"/>
      <c r="I2" s="753"/>
      <c r="J2" s="753"/>
      <c r="K2" s="754"/>
    </row>
    <row r="3" spans="2:11">
      <c r="B3" s="497"/>
      <c r="C3" s="497"/>
      <c r="E3" s="497"/>
      <c r="F3" s="497"/>
      <c r="G3" s="497"/>
      <c r="H3" s="497"/>
      <c r="I3" s="497"/>
      <c r="J3" s="497"/>
      <c r="K3" s="497"/>
    </row>
    <row r="4" spans="2:11">
      <c r="B4" s="755" t="s">
        <v>2329</v>
      </c>
      <c r="C4" s="756" t="s">
        <v>2330</v>
      </c>
      <c r="D4" s="756" t="s">
        <v>2331</v>
      </c>
      <c r="E4" s="755" t="s">
        <v>143</v>
      </c>
      <c r="F4" s="757"/>
      <c r="G4" s="757"/>
      <c r="H4" s="757"/>
      <c r="I4" s="757"/>
      <c r="J4" s="757"/>
      <c r="K4" s="757"/>
    </row>
    <row r="5" spans="2:11">
      <c r="B5" s="758">
        <v>43556</v>
      </c>
      <c r="C5" s="758"/>
      <c r="D5" s="481">
        <v>5</v>
      </c>
      <c r="E5" s="759" t="s">
        <v>2332</v>
      </c>
      <c r="F5" s="470"/>
      <c r="G5" s="470"/>
      <c r="H5" s="470"/>
      <c r="I5" s="470"/>
      <c r="J5" s="470"/>
      <c r="K5" s="471"/>
    </row>
    <row r="6" spans="2:11">
      <c r="B6" s="760">
        <v>43661</v>
      </c>
      <c r="C6" s="760"/>
      <c r="D6" s="761">
        <v>5.01</v>
      </c>
      <c r="E6" s="762" t="s">
        <v>2333</v>
      </c>
      <c r="F6" s="312"/>
      <c r="G6" s="312"/>
      <c r="H6" s="312"/>
      <c r="I6" s="312"/>
      <c r="J6" s="312"/>
      <c r="K6" s="763"/>
    </row>
    <row r="7" spans="2:11">
      <c r="B7" s="764"/>
      <c r="C7" s="764"/>
      <c r="D7" s="765"/>
      <c r="E7" s="214" t="s">
        <v>2334</v>
      </c>
      <c r="K7" s="242"/>
    </row>
    <row r="8" spans="2:11">
      <c r="B8" s="764"/>
      <c r="C8" s="764"/>
      <c r="D8" s="765"/>
      <c r="E8" s="214" t="s">
        <v>2335</v>
      </c>
      <c r="K8" s="242"/>
    </row>
    <row r="9" spans="2:11">
      <c r="B9" s="764"/>
      <c r="C9" s="764"/>
      <c r="D9" s="765"/>
      <c r="E9" s="214" t="s">
        <v>2336</v>
      </c>
      <c r="K9" s="242"/>
    </row>
    <row r="10" spans="2:11">
      <c r="B10" s="764"/>
      <c r="C10" s="764"/>
      <c r="D10" s="765"/>
      <c r="E10" s="214" t="s">
        <v>2337</v>
      </c>
      <c r="K10" s="242"/>
    </row>
    <row r="11" spans="2:11">
      <c r="B11" s="766"/>
      <c r="C11" s="766"/>
      <c r="D11" s="765"/>
      <c r="E11" s="229" t="s">
        <v>2338</v>
      </c>
      <c r="K11" s="242"/>
    </row>
    <row r="12" spans="2:11">
      <c r="B12" s="766"/>
      <c r="C12" s="766"/>
      <c r="D12" s="765"/>
      <c r="E12" s="229" t="s">
        <v>2339</v>
      </c>
      <c r="K12" s="242"/>
    </row>
    <row r="13" spans="2:11">
      <c r="B13" s="766"/>
      <c r="C13" s="766"/>
      <c r="D13" s="765"/>
      <c r="E13" s="229" t="s">
        <v>2340</v>
      </c>
      <c r="K13" s="242"/>
    </row>
    <row r="14" spans="2:11">
      <c r="B14" s="766"/>
      <c r="C14" s="766"/>
      <c r="D14" s="765"/>
      <c r="E14" s="229" t="s">
        <v>2341</v>
      </c>
      <c r="K14" s="242"/>
    </row>
    <row r="15" spans="2:11">
      <c r="B15" s="766"/>
      <c r="C15" s="766"/>
      <c r="D15" s="765"/>
      <c r="E15" s="229" t="s">
        <v>2342</v>
      </c>
      <c r="K15" s="242"/>
    </row>
    <row r="16" spans="2:11">
      <c r="B16" s="766"/>
      <c r="C16" s="766"/>
      <c r="D16" s="765"/>
      <c r="E16" s="229"/>
      <c r="K16" s="242"/>
    </row>
    <row r="17" spans="2:11">
      <c r="B17" s="767"/>
      <c r="C17" s="767"/>
      <c r="D17" s="768"/>
      <c r="E17" s="769"/>
      <c r="F17" s="757"/>
      <c r="G17" s="757"/>
      <c r="H17" s="757"/>
      <c r="I17" s="757"/>
      <c r="J17" s="757"/>
      <c r="K17" s="770"/>
    </row>
    <row r="18" spans="2:11">
      <c r="B18" s="760">
        <v>44000</v>
      </c>
      <c r="C18" s="760"/>
      <c r="D18" s="761">
        <v>5.0199999999999996</v>
      </c>
      <c r="E18" s="771" t="s">
        <v>2343</v>
      </c>
      <c r="F18" s="312"/>
      <c r="G18" s="312"/>
      <c r="H18" s="312"/>
      <c r="I18" s="312"/>
      <c r="J18" s="312"/>
      <c r="K18" s="763"/>
    </row>
    <row r="19" spans="2:11">
      <c r="B19" s="764"/>
      <c r="C19" s="764"/>
      <c r="D19" s="764"/>
      <c r="E19" s="229" t="s">
        <v>2344</v>
      </c>
      <c r="K19" s="242"/>
    </row>
    <row r="20" spans="2:11">
      <c r="B20" s="772"/>
      <c r="C20" s="772"/>
      <c r="D20" s="764"/>
      <c r="E20" s="214" t="s">
        <v>2345</v>
      </c>
      <c r="K20" s="242"/>
    </row>
    <row r="21" spans="2:11">
      <c r="B21" s="773"/>
      <c r="C21" s="773"/>
      <c r="D21" s="774"/>
      <c r="E21" s="757"/>
      <c r="F21" s="757"/>
      <c r="G21" s="757"/>
      <c r="H21" s="757"/>
      <c r="I21" s="757"/>
      <c r="J21" s="757"/>
      <c r="K21" s="770"/>
    </row>
    <row r="22" spans="2:11">
      <c r="B22" s="775" t="s">
        <v>2346</v>
      </c>
      <c r="C22" s="775">
        <v>44835</v>
      </c>
      <c r="D22" s="761">
        <v>6</v>
      </c>
      <c r="E22" s="762" t="s">
        <v>2347</v>
      </c>
      <c r="F22" s="312"/>
      <c r="G22" s="312"/>
      <c r="H22" s="312"/>
      <c r="I22" s="312"/>
      <c r="J22" s="312"/>
      <c r="K22" s="763"/>
    </row>
    <row r="23" spans="2:11">
      <c r="B23" s="764"/>
      <c r="C23" s="764"/>
      <c r="D23" s="764"/>
      <c r="E23" s="214" t="s">
        <v>2348</v>
      </c>
      <c r="K23" s="242"/>
    </row>
    <row r="24" spans="2:11">
      <c r="B24" s="764"/>
      <c r="C24" s="764"/>
      <c r="D24" s="764"/>
      <c r="E24" s="214" t="s">
        <v>2349</v>
      </c>
      <c r="K24" s="242"/>
    </row>
    <row r="25" spans="2:11">
      <c r="B25" s="774"/>
      <c r="C25" s="774"/>
      <c r="D25" s="774"/>
      <c r="E25" s="757"/>
      <c r="F25" s="757"/>
      <c r="G25" s="757"/>
      <c r="H25" s="757"/>
      <c r="I25" s="757"/>
      <c r="J25" s="757"/>
      <c r="K25" s="770"/>
    </row>
    <row r="26" spans="2:11">
      <c r="B26" s="775">
        <v>44883</v>
      </c>
      <c r="C26" s="775">
        <v>44883</v>
      </c>
      <c r="D26" s="761">
        <v>6.01</v>
      </c>
      <c r="E26" s="762" t="s">
        <v>2350</v>
      </c>
      <c r="F26" s="312"/>
      <c r="G26" s="312"/>
      <c r="H26" s="312"/>
      <c r="I26" s="312"/>
      <c r="J26" s="312"/>
      <c r="K26" s="763"/>
    </row>
    <row r="27" spans="2:11">
      <c r="B27" s="764"/>
      <c r="C27" s="764"/>
      <c r="D27" s="764"/>
      <c r="E27" s="214"/>
      <c r="K27" s="242"/>
    </row>
    <row r="28" spans="2:11">
      <c r="B28" s="774"/>
      <c r="C28" s="774"/>
      <c r="D28" s="774"/>
      <c r="E28" s="757"/>
      <c r="F28" s="757"/>
      <c r="G28" s="757"/>
      <c r="H28" s="757"/>
      <c r="I28" s="757"/>
      <c r="J28" s="757"/>
      <c r="K28" s="770"/>
    </row>
    <row r="29" spans="2:11">
      <c r="B29" s="775">
        <v>44944</v>
      </c>
      <c r="C29" s="775">
        <v>44949</v>
      </c>
      <c r="D29" s="761">
        <v>6.02</v>
      </c>
      <c r="E29" s="762" t="s">
        <v>2351</v>
      </c>
      <c r="F29" s="312"/>
      <c r="G29" s="312"/>
      <c r="H29" s="312"/>
      <c r="I29" s="312"/>
      <c r="J29" s="312"/>
      <c r="K29" s="763"/>
    </row>
    <row r="30" spans="2:11">
      <c r="B30" s="764"/>
      <c r="C30" s="764"/>
      <c r="D30" s="764"/>
      <c r="E30" s="214"/>
      <c r="K30" s="242"/>
    </row>
    <row r="31" spans="2:11">
      <c r="B31" s="774"/>
      <c r="C31" s="774"/>
      <c r="D31" s="774"/>
      <c r="E31" s="757"/>
      <c r="F31" s="757"/>
      <c r="G31" s="757"/>
      <c r="H31" s="757"/>
      <c r="I31" s="757"/>
      <c r="J31" s="757"/>
      <c r="K31" s="770"/>
    </row>
    <row r="32" spans="2:11">
      <c r="B32" s="775">
        <v>45113</v>
      </c>
      <c r="C32" s="775">
        <v>45113</v>
      </c>
      <c r="D32" s="761">
        <v>6.03</v>
      </c>
      <c r="E32" s="762" t="s">
        <v>2731</v>
      </c>
      <c r="F32" s="312"/>
      <c r="G32" s="312"/>
      <c r="H32" s="312"/>
      <c r="I32" s="312"/>
      <c r="J32" s="312"/>
      <c r="K32" s="763"/>
    </row>
    <row r="33" spans="2:11">
      <c r="B33" s="764"/>
      <c r="C33" s="764"/>
      <c r="D33" s="764"/>
      <c r="E33" s="214"/>
      <c r="K33" s="242"/>
    </row>
    <row r="34" spans="2:11">
      <c r="B34" s="774"/>
      <c r="C34" s="774"/>
      <c r="D34" s="774"/>
      <c r="E34" s="757"/>
      <c r="F34" s="757"/>
      <c r="G34" s="757"/>
      <c r="H34" s="757"/>
      <c r="I34" s="757"/>
      <c r="J34" s="757"/>
      <c r="K34" s="770"/>
    </row>
    <row r="35" spans="2:11">
      <c r="B35" s="775">
        <v>45245</v>
      </c>
      <c r="C35" s="775">
        <v>45245</v>
      </c>
      <c r="D35" s="761">
        <v>6.04</v>
      </c>
      <c r="E35" s="762" t="s">
        <v>2732</v>
      </c>
      <c r="F35" s="312"/>
      <c r="G35" s="312"/>
      <c r="H35" s="312"/>
      <c r="I35" s="312"/>
      <c r="J35" s="312"/>
      <c r="K35" s="763"/>
    </row>
    <row r="36" spans="2:11">
      <c r="B36" s="764"/>
      <c r="C36" s="764"/>
      <c r="D36" s="764"/>
      <c r="E36" s="214"/>
      <c r="K36" s="242"/>
    </row>
    <row r="37" spans="2:11">
      <c r="B37" s="774"/>
      <c r="C37" s="774"/>
      <c r="D37" s="774"/>
      <c r="E37" s="757"/>
      <c r="F37" s="757"/>
      <c r="G37" s="757"/>
      <c r="H37" s="757"/>
      <c r="I37" s="757"/>
      <c r="J37" s="757"/>
      <c r="K37" s="770"/>
    </row>
    <row r="38" spans="2:11">
      <c r="B38" s="312"/>
      <c r="C38" s="779"/>
      <c r="D38" s="779"/>
      <c r="E38" s="312"/>
      <c r="F38" s="312"/>
      <c r="G38" s="312"/>
      <c r="H38" s="312"/>
      <c r="I38" s="312"/>
      <c r="J38" s="312"/>
      <c r="K38" s="763"/>
    </row>
    <row r="39" spans="2:11">
      <c r="B39" s="776">
        <v>45336</v>
      </c>
      <c r="C39" s="766">
        <f>'Terms-con'!J50</f>
        <v>45336</v>
      </c>
      <c r="D39" s="765">
        <f>'Terms-con'!G50</f>
        <v>6.05</v>
      </c>
      <c r="E39" s="777" t="s">
        <v>2734</v>
      </c>
      <c r="F39" s="778"/>
      <c r="G39" s="778"/>
      <c r="H39" s="778"/>
      <c r="I39" s="778"/>
      <c r="J39" s="778"/>
      <c r="K39" s="242"/>
    </row>
    <row r="40" spans="2:11">
      <c r="B40" s="757"/>
      <c r="C40" s="774"/>
      <c r="D40" s="774"/>
      <c r="E40" s="757"/>
      <c r="F40" s="757"/>
      <c r="G40" s="757"/>
      <c r="H40" s="757"/>
      <c r="I40" s="757"/>
      <c r="J40" s="757"/>
      <c r="K40" s="770"/>
    </row>
    <row r="41" spans="2:11">
      <c r="E41" s="21"/>
    </row>
    <row r="47" spans="2:11">
      <c r="G47" s="21"/>
    </row>
  </sheetData>
  <sheetProtection algorithmName="SHA-512" hashValue="P2ujAIRVoCt1IVWKg1DjABlstPsNamgm4oHpn9Jdbeo5D4cygNFdgZ6ZFYbVUc8TioP14SzLBhllJEDlT8JyVw==" saltValue="VnBvPKCDN3OnPUwI2ZugfQ==" spinCount="100000" sheet="1" objects="1" scenarios="1" autoFilter="0"/>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453C5-808C-41DB-8FC2-36CC7BD52D14}">
  <sheetPr codeName="Sheet4"/>
  <dimension ref="A2:G73"/>
  <sheetViews>
    <sheetView showGridLines="0" workbookViewId="0"/>
  </sheetViews>
  <sheetFormatPr defaultColWidth="9" defaultRowHeight="12.75"/>
  <cols>
    <col min="1" max="1" width="3.42578125" customWidth="1"/>
    <col min="2" max="2" width="8.28515625" customWidth="1"/>
    <col min="3" max="3" width="23" customWidth="1"/>
    <col min="4" max="4" width="40.42578125" customWidth="1"/>
    <col min="5" max="5" width="22.42578125" customWidth="1"/>
    <col min="6" max="6" width="40.42578125" customWidth="1"/>
    <col min="7" max="7" width="2.42578125" customWidth="1"/>
  </cols>
  <sheetData>
    <row r="2" spans="2:7" ht="16.350000000000001" customHeight="1">
      <c r="B2" s="225" t="str">
        <f>CONTENTS!$B$2</f>
        <v>Petroleum and Gas Estimated Rehabilitation Cost Calculator</v>
      </c>
    </row>
    <row r="3" spans="2:7" ht="20.100000000000001" customHeight="1">
      <c r="B3" s="20" t="s">
        <v>305</v>
      </c>
      <c r="C3" s="226" t="s">
        <v>313</v>
      </c>
      <c r="D3" s="227"/>
      <c r="E3" s="227"/>
      <c r="F3" s="227"/>
      <c r="G3" s="228"/>
    </row>
    <row r="4" spans="2:7" s="231" customFormat="1" ht="15.6" customHeight="1">
      <c r="B4" s="229"/>
      <c r="C4" s="214"/>
      <c r="D4" s="214"/>
      <c r="E4" s="214"/>
      <c r="F4" s="214"/>
      <c r="G4" s="230"/>
    </row>
    <row r="5" spans="2:7" s="231" customFormat="1" ht="16.350000000000001" customHeight="1">
      <c r="B5" s="229"/>
      <c r="C5" s="214"/>
      <c r="D5" s="214"/>
      <c r="E5" s="214"/>
      <c r="F5" s="214"/>
      <c r="G5" s="230"/>
    </row>
    <row r="6" spans="2:7" s="231" customFormat="1" ht="14.25">
      <c r="B6" s="232"/>
      <c r="C6" s="233" t="s">
        <v>342</v>
      </c>
      <c r="D6" s="146"/>
      <c r="E6" s="233" t="s">
        <v>343</v>
      </c>
      <c r="F6" s="146"/>
      <c r="G6" s="230"/>
    </row>
    <row r="7" spans="2:7" s="231" customFormat="1" ht="16.350000000000001" customHeight="1">
      <c r="B7" s="232"/>
      <c r="C7" s="234"/>
      <c r="D7" s="235"/>
      <c r="E7" s="234"/>
      <c r="F7" s="236"/>
      <c r="G7" s="230"/>
    </row>
    <row r="8" spans="2:7" s="231" customFormat="1" ht="14.25">
      <c r="B8" s="232"/>
      <c r="C8" s="233" t="s">
        <v>344</v>
      </c>
      <c r="D8" s="146"/>
      <c r="E8" s="233" t="s">
        <v>345</v>
      </c>
      <c r="F8" s="146"/>
      <c r="G8" s="230"/>
    </row>
    <row r="9" spans="2:7" s="231" customFormat="1" ht="14.25">
      <c r="B9" s="232"/>
      <c r="C9" s="233"/>
      <c r="D9" s="146"/>
      <c r="E9" s="233"/>
      <c r="F9" s="233"/>
      <c r="G9" s="230"/>
    </row>
    <row r="10" spans="2:7" s="231" customFormat="1" ht="16.350000000000001" customHeight="1">
      <c r="B10" s="232"/>
      <c r="C10" s="234"/>
      <c r="D10" s="236"/>
      <c r="E10" s="234"/>
      <c r="F10" s="236"/>
      <c r="G10" s="230"/>
    </row>
    <row r="11" spans="2:7" s="231" customFormat="1" ht="14.25">
      <c r="B11" s="232"/>
      <c r="C11" s="233" t="s">
        <v>346</v>
      </c>
      <c r="D11" s="147"/>
      <c r="E11" s="233" t="s">
        <v>347</v>
      </c>
      <c r="F11" s="157"/>
      <c r="G11" s="230"/>
    </row>
    <row r="12" spans="2:7" s="231" customFormat="1" ht="16.350000000000001" customHeight="1">
      <c r="B12" s="232"/>
      <c r="C12" s="234"/>
      <c r="D12" s="236"/>
      <c r="E12" s="234"/>
      <c r="F12" s="236"/>
      <c r="G12" s="230"/>
    </row>
    <row r="13" spans="2:7" s="231" customFormat="1" ht="14.25">
      <c r="B13" s="232"/>
      <c r="C13" s="233" t="s">
        <v>348</v>
      </c>
      <c r="D13" s="146"/>
      <c r="E13" s="233" t="s">
        <v>349</v>
      </c>
      <c r="F13" s="146"/>
      <c r="G13" s="230"/>
    </row>
    <row r="14" spans="2:7" s="231" customFormat="1" ht="16.350000000000001" customHeight="1">
      <c r="B14" s="232"/>
      <c r="C14" s="234"/>
      <c r="D14" s="237"/>
      <c r="E14" s="234"/>
      <c r="F14" s="236"/>
      <c r="G14" s="230"/>
    </row>
    <row r="15" spans="2:7" s="231" customFormat="1" ht="14.25">
      <c r="B15" s="232"/>
      <c r="C15" s="233" t="s">
        <v>350</v>
      </c>
      <c r="D15" s="146"/>
      <c r="E15" s="233" t="s">
        <v>351</v>
      </c>
      <c r="F15" s="146"/>
      <c r="G15" s="230"/>
    </row>
    <row r="16" spans="2:7" s="231" customFormat="1" ht="14.25">
      <c r="B16" s="232"/>
      <c r="C16" s="233"/>
      <c r="D16" s="146"/>
      <c r="E16" s="233"/>
      <c r="F16" s="233"/>
      <c r="G16" s="230"/>
    </row>
    <row r="17" spans="1:7" s="231" customFormat="1" ht="14.25">
      <c r="A17" s="214"/>
      <c r="B17" s="232"/>
      <c r="C17" s="233"/>
      <c r="D17" s="146"/>
      <c r="E17" s="233" t="s">
        <v>352</v>
      </c>
      <c r="F17" s="146"/>
      <c r="G17" s="230"/>
    </row>
    <row r="18" spans="1:7" s="231" customFormat="1" ht="14.25">
      <c r="A18" s="214"/>
      <c r="B18" s="232"/>
      <c r="C18" s="234"/>
      <c r="D18" s="236"/>
      <c r="E18" s="234"/>
      <c r="F18" s="236"/>
      <c r="G18" s="230"/>
    </row>
    <row r="19" spans="1:7" ht="60">
      <c r="A19" s="163"/>
      <c r="B19" s="169"/>
      <c r="C19" s="238" t="s">
        <v>353</v>
      </c>
      <c r="D19" s="94" t="s">
        <v>354</v>
      </c>
      <c r="E19" s="239" t="s">
        <v>355</v>
      </c>
      <c r="F19" s="145" t="s">
        <v>356</v>
      </c>
      <c r="G19" s="172"/>
    </row>
    <row r="20" spans="1:7" s="231" customFormat="1">
      <c r="A20" s="214"/>
      <c r="B20" s="169"/>
      <c r="C20" s="177"/>
      <c r="D20" s="177"/>
      <c r="E20" s="177"/>
      <c r="F20" s="240"/>
      <c r="G20" s="241"/>
    </row>
    <row r="21" spans="1:7" s="231" customFormat="1" ht="24">
      <c r="A21" s="214"/>
      <c r="B21" s="169"/>
      <c r="C21" s="239" t="s">
        <v>357</v>
      </c>
      <c r="D21" s="146"/>
      <c r="E21" s="239" t="s">
        <v>358</v>
      </c>
      <c r="F21" s="146"/>
      <c r="G21" s="242"/>
    </row>
    <row r="22" spans="1:7" s="231" customFormat="1">
      <c r="A22" s="214"/>
      <c r="B22" s="169"/>
      <c r="C22" s="239" t="s">
        <v>359</v>
      </c>
      <c r="D22" s="146"/>
      <c r="E22" s="239" t="s">
        <v>359</v>
      </c>
      <c r="F22" s="146"/>
      <c r="G22" s="242"/>
    </row>
    <row r="23" spans="1:7" s="231" customFormat="1">
      <c r="A23" s="214"/>
      <c r="B23" s="169"/>
      <c r="C23" s="239" t="s">
        <v>360</v>
      </c>
      <c r="D23" s="147"/>
      <c r="E23" s="239" t="s">
        <v>360</v>
      </c>
      <c r="F23" s="147"/>
      <c r="G23" s="242"/>
    </row>
    <row r="24" spans="1:7" s="231" customFormat="1">
      <c r="A24" s="214"/>
      <c r="B24" s="169"/>
      <c r="C24" s="243"/>
      <c r="D24" s="177"/>
      <c r="E24" s="243"/>
      <c r="F24" s="244"/>
      <c r="G24" s="241"/>
    </row>
    <row r="25" spans="1:7" s="231" customFormat="1" ht="13.5" thickBot="1">
      <c r="A25" s="214"/>
      <c r="B25" s="245"/>
      <c r="C25" s="246" t="s">
        <v>361</v>
      </c>
      <c r="D25" s="247"/>
      <c r="E25" s="247"/>
      <c r="F25" s="246"/>
      <c r="G25" s="248"/>
    </row>
    <row r="26" spans="1:7" s="231" customFormat="1" ht="9" customHeight="1">
      <c r="A26" s="214"/>
      <c r="B26" s="169"/>
      <c r="C26" s="177"/>
      <c r="D26" s="177"/>
      <c r="E26" s="177"/>
      <c r="F26" s="249"/>
      <c r="G26" s="241"/>
    </row>
    <row r="27" spans="1:7" s="231" customFormat="1" ht="24">
      <c r="A27" s="214"/>
      <c r="B27" s="169"/>
      <c r="C27" s="239" t="s">
        <v>362</v>
      </c>
      <c r="D27" s="146"/>
      <c r="E27" s="239" t="s">
        <v>363</v>
      </c>
      <c r="F27" s="146"/>
      <c r="G27" s="242"/>
    </row>
    <row r="28" spans="1:7" s="231" customFormat="1">
      <c r="A28" s="214"/>
      <c r="B28" s="169"/>
      <c r="C28" s="239" t="s">
        <v>359</v>
      </c>
      <c r="D28" s="146"/>
      <c r="E28" s="239" t="s">
        <v>359</v>
      </c>
      <c r="F28" s="146"/>
      <c r="G28" s="242"/>
    </row>
    <row r="29" spans="1:7" s="231" customFormat="1">
      <c r="A29" s="214"/>
      <c r="B29" s="169"/>
      <c r="C29" s="239" t="s">
        <v>360</v>
      </c>
      <c r="D29" s="147"/>
      <c r="E29" s="239" t="s">
        <v>360</v>
      </c>
      <c r="F29" s="147"/>
      <c r="G29" s="242"/>
    </row>
    <row r="30" spans="1:7" s="231" customFormat="1" ht="12" customHeight="1">
      <c r="A30" s="214"/>
      <c r="B30" s="250"/>
      <c r="C30" s="251"/>
      <c r="D30" s="251"/>
      <c r="E30" s="251"/>
      <c r="F30" s="252"/>
      <c r="G30" s="253"/>
    </row>
    <row r="31" spans="1:7" s="231" customFormat="1">
      <c r="A31" s="214"/>
      <c r="B31" s="214"/>
      <c r="C31" s="214"/>
      <c r="D31" s="214"/>
      <c r="E31" s="214"/>
      <c r="F31" s="214"/>
      <c r="G31" s="214"/>
    </row>
    <row r="32" spans="1:7" s="231" customFormat="1">
      <c r="A32" s="214"/>
      <c r="B32" s="214"/>
      <c r="C32" s="214"/>
      <c r="D32" s="214"/>
      <c r="E32" s="214"/>
      <c r="F32" s="214"/>
      <c r="G32" s="214"/>
    </row>
    <row r="33" spans="1:7" s="231" customFormat="1">
      <c r="A33" s="214"/>
      <c r="B33" s="214"/>
      <c r="C33" s="214"/>
      <c r="D33" s="214"/>
      <c r="E33" s="214"/>
      <c r="F33" s="214"/>
      <c r="G33" s="214"/>
    </row>
    <row r="34" spans="1:7" s="231" customFormat="1">
      <c r="A34" s="214"/>
      <c r="B34" s="214"/>
      <c r="C34" s="214"/>
      <c r="D34" s="214"/>
      <c r="E34" s="214"/>
      <c r="F34" s="214"/>
      <c r="G34" s="214"/>
    </row>
    <row r="35" spans="1:7" s="231" customFormat="1">
      <c r="A35" s="214"/>
      <c r="B35" s="214"/>
      <c r="C35" s="214"/>
      <c r="D35" s="214"/>
      <c r="E35" s="214"/>
      <c r="F35" s="214"/>
      <c r="G35" s="214"/>
    </row>
    <row r="36" spans="1:7" s="231" customFormat="1">
      <c r="A36" s="214"/>
      <c r="B36" s="214"/>
      <c r="C36" s="214"/>
      <c r="D36" s="214"/>
      <c r="E36" s="214"/>
      <c r="F36" s="214"/>
      <c r="G36" s="214"/>
    </row>
    <row r="37" spans="1:7" s="231" customFormat="1">
      <c r="A37" s="214"/>
      <c r="B37" s="214"/>
      <c r="C37" s="214"/>
      <c r="D37" s="214"/>
      <c r="E37" s="214"/>
      <c r="F37" s="214"/>
      <c r="G37" s="214"/>
    </row>
    <row r="38" spans="1:7" s="231" customFormat="1">
      <c r="A38" s="214"/>
      <c r="B38" s="214"/>
      <c r="C38" s="214"/>
      <c r="D38" s="214"/>
      <c r="E38" s="214"/>
      <c r="F38" s="214"/>
      <c r="G38" s="214"/>
    </row>
    <row r="39" spans="1:7" s="231" customFormat="1">
      <c r="A39" s="214"/>
      <c r="B39" s="214"/>
      <c r="C39" s="214"/>
      <c r="D39" s="214"/>
      <c r="E39" s="214"/>
      <c r="F39" s="214"/>
      <c r="G39" s="214"/>
    </row>
    <row r="40" spans="1:7" s="231" customFormat="1">
      <c r="A40" s="214"/>
      <c r="B40" s="214"/>
      <c r="C40" s="214"/>
      <c r="D40" s="214"/>
      <c r="E40" s="214"/>
      <c r="F40" s="214"/>
      <c r="G40" s="214"/>
    </row>
    <row r="41" spans="1:7" s="231" customFormat="1">
      <c r="A41" s="214"/>
      <c r="B41" s="214"/>
      <c r="C41" s="214"/>
      <c r="D41" s="214"/>
      <c r="E41" s="214"/>
      <c r="F41" s="214"/>
      <c r="G41" s="214"/>
    </row>
    <row r="42" spans="1:7" s="231" customFormat="1">
      <c r="A42" s="214"/>
      <c r="B42" s="214"/>
      <c r="C42" s="214"/>
      <c r="D42" s="214"/>
      <c r="E42" s="214"/>
      <c r="F42" s="214"/>
      <c r="G42" s="214"/>
    </row>
    <row r="43" spans="1:7" s="231" customFormat="1">
      <c r="A43" s="214"/>
      <c r="B43" s="214"/>
      <c r="C43" s="214"/>
      <c r="D43" s="214"/>
      <c r="E43" s="214"/>
      <c r="F43" s="214"/>
      <c r="G43" s="214"/>
    </row>
    <row r="44" spans="1:7" s="231" customFormat="1">
      <c r="A44" s="214"/>
      <c r="B44" s="214"/>
      <c r="C44" s="214"/>
      <c r="D44" s="214"/>
      <c r="E44" s="214"/>
      <c r="F44" s="214"/>
      <c r="G44" s="214"/>
    </row>
    <row r="45" spans="1:7" s="231" customFormat="1">
      <c r="A45" s="214"/>
      <c r="B45" s="214"/>
      <c r="C45" s="214"/>
      <c r="D45" s="214"/>
      <c r="E45" s="214"/>
      <c r="F45" s="214"/>
      <c r="G45" s="214"/>
    </row>
    <row r="46" spans="1:7" s="231" customFormat="1">
      <c r="A46" s="214"/>
      <c r="B46" s="214"/>
      <c r="C46" s="214"/>
      <c r="D46" s="214"/>
      <c r="E46" s="214"/>
      <c r="F46" s="214"/>
      <c r="G46" s="214"/>
    </row>
    <row r="47" spans="1:7" s="231" customFormat="1">
      <c r="A47" s="214"/>
      <c r="B47" s="214"/>
      <c r="C47" s="214"/>
      <c r="D47" s="214"/>
      <c r="E47" s="214"/>
      <c r="F47" s="214"/>
      <c r="G47" s="214"/>
    </row>
    <row r="48" spans="1:7" s="231" customFormat="1">
      <c r="A48" s="214"/>
      <c r="B48" s="214"/>
      <c r="C48" s="214"/>
      <c r="D48" s="214"/>
      <c r="E48" s="214"/>
      <c r="F48" s="214"/>
      <c r="G48" s="214"/>
    </row>
    <row r="49" spans="2:7" s="231" customFormat="1">
      <c r="B49" s="214"/>
      <c r="C49" s="214"/>
      <c r="D49" s="214"/>
      <c r="E49" s="214"/>
      <c r="F49" s="214"/>
      <c r="G49" s="214"/>
    </row>
    <row r="50" spans="2:7" s="231" customFormat="1">
      <c r="B50" s="214"/>
      <c r="C50" s="214"/>
      <c r="D50" s="214"/>
      <c r="E50" s="214"/>
      <c r="F50" s="214"/>
      <c r="G50" s="214"/>
    </row>
    <row r="51" spans="2:7" s="231" customFormat="1">
      <c r="B51" s="214"/>
      <c r="C51" s="214"/>
      <c r="D51" s="214"/>
      <c r="E51" s="214"/>
      <c r="F51" s="214"/>
      <c r="G51" s="214"/>
    </row>
    <row r="52" spans="2:7" s="231" customFormat="1">
      <c r="B52" s="214"/>
      <c r="C52" s="214"/>
      <c r="D52" s="214"/>
      <c r="E52" s="214"/>
      <c r="F52" s="214"/>
      <c r="G52" s="214"/>
    </row>
    <row r="53" spans="2:7" s="231" customFormat="1">
      <c r="B53" s="214"/>
      <c r="C53" s="214"/>
      <c r="D53" s="214"/>
      <c r="E53" s="214"/>
      <c r="F53" s="214"/>
      <c r="G53" s="214"/>
    </row>
    <row r="54" spans="2:7" s="231" customFormat="1">
      <c r="B54" s="214"/>
      <c r="C54" s="214"/>
      <c r="D54" s="214"/>
      <c r="E54" s="214"/>
      <c r="F54" s="214"/>
      <c r="G54" s="214"/>
    </row>
    <row r="55" spans="2:7" s="231" customFormat="1">
      <c r="B55" s="214"/>
      <c r="C55" s="214"/>
      <c r="D55" s="214"/>
      <c r="E55" s="214"/>
      <c r="F55" s="214"/>
      <c r="G55" s="214"/>
    </row>
    <row r="56" spans="2:7" s="231" customFormat="1">
      <c r="B56" s="214"/>
      <c r="C56" s="214"/>
      <c r="D56" s="214"/>
      <c r="E56" s="214"/>
      <c r="F56" s="214"/>
      <c r="G56" s="214"/>
    </row>
    <row r="57" spans="2:7" s="231" customFormat="1">
      <c r="B57" s="214"/>
      <c r="C57" s="214"/>
      <c r="D57" s="214"/>
      <c r="E57" s="214"/>
      <c r="F57" s="214"/>
      <c r="G57" s="214"/>
    </row>
    <row r="58" spans="2:7" s="231" customFormat="1">
      <c r="B58" s="214"/>
      <c r="C58" s="214"/>
      <c r="D58" s="214"/>
      <c r="E58" s="214"/>
      <c r="F58" s="214"/>
      <c r="G58" s="214"/>
    </row>
    <row r="59" spans="2:7" s="231" customFormat="1">
      <c r="B59" s="214"/>
      <c r="C59" s="214"/>
      <c r="D59" s="214"/>
      <c r="E59" s="214"/>
      <c r="F59" s="214"/>
      <c r="G59" s="214"/>
    </row>
    <row r="60" spans="2:7" s="231" customFormat="1">
      <c r="B60" s="214"/>
      <c r="C60" s="214"/>
      <c r="D60" s="214"/>
      <c r="E60" s="214"/>
      <c r="F60" s="214"/>
      <c r="G60" s="214"/>
    </row>
    <row r="61" spans="2:7" s="231" customFormat="1">
      <c r="B61" s="214"/>
      <c r="C61" s="214"/>
      <c r="D61" s="214"/>
      <c r="E61" s="214"/>
      <c r="F61" s="214"/>
      <c r="G61" s="214"/>
    </row>
    <row r="62" spans="2:7" s="231" customFormat="1">
      <c r="B62" s="214"/>
      <c r="C62" s="214"/>
      <c r="D62" s="214"/>
      <c r="E62" s="214"/>
      <c r="F62" s="214"/>
      <c r="G62" s="214"/>
    </row>
    <row r="63" spans="2:7" s="231" customFormat="1">
      <c r="B63" s="214"/>
      <c r="C63" s="214"/>
      <c r="D63" s="214"/>
      <c r="E63" s="214"/>
      <c r="F63" s="214"/>
      <c r="G63" s="214"/>
    </row>
    <row r="64" spans="2:7" s="231" customFormat="1">
      <c r="B64" s="214"/>
      <c r="C64" s="214"/>
      <c r="D64" s="214"/>
      <c r="E64" s="214"/>
      <c r="F64" s="214"/>
      <c r="G64" s="214"/>
    </row>
    <row r="65" s="231" customFormat="1"/>
    <row r="66" s="231" customFormat="1"/>
    <row r="67" s="231" customFormat="1"/>
    <row r="68" s="231" customFormat="1"/>
    <row r="69" s="231" customFormat="1"/>
    <row r="70" s="231" customFormat="1"/>
    <row r="71" s="231" customFormat="1"/>
    <row r="72" s="231" customFormat="1"/>
    <row r="73" s="231" customFormat="1"/>
  </sheetData>
  <sheetProtection algorithmName="SHA-512" hashValue="/pC3rXT4Cezg+k7y+G6XB1MiMPzhUvINepcsozGANZHC5bGFFG0tXti7A0uTbbEaSa+07PK1D+NU2gknTEr5uw==" saltValue="MC2KW7b75IXRDRu7gBzqbw==" spinCount="100000" sheet="1" objects="1" scenarios="1" autoFilter="0"/>
  <conditionalFormatting sqref="D19">
    <cfRule type="containsText" dxfId="42" priority="1" operator="containsText" text="Select from below">
      <formula>NOT(ISERROR(SEARCH("Select from below",D19)))</formula>
    </cfRule>
  </conditionalFormatting>
  <dataValidations count="1">
    <dataValidation type="list" allowBlank="1" showInputMessage="1" showErrorMessage="1" sqref="D19" xr:uid="{A842DF74-4C20-49C5-9055-3F050C64C2F5}">
      <formula1>Waste_levy</formula1>
    </dataValidation>
  </dataValidations>
  <hyperlinks>
    <hyperlink ref="B3" location="CONTENTS" display="Contents" xr:uid="{03FDFE0F-D2F7-44E8-9C9D-BC7B4377B1FD}"/>
  </hyperlinks>
  <pageMargins left="0.7" right="0.7" top="0.75" bottom="0.75" header="0.3" footer="0.3"/>
  <pageSetup paperSize="9"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BDE71-2BBC-407A-A761-CA6FCF12FBE9}">
  <sheetPr codeName="Sheet48"/>
  <dimension ref="B3:E28"/>
  <sheetViews>
    <sheetView showGridLines="0" zoomScale="85" zoomScaleNormal="85" workbookViewId="0">
      <pane xSplit="2" ySplit="6" topLeftCell="C7" activePane="bottomRight" state="frozen"/>
      <selection pane="topRight" activeCell="C1" sqref="C1"/>
      <selection pane="bottomLeft" activeCell="A7" sqref="A7"/>
      <selection pane="bottomRight"/>
    </sheetView>
  </sheetViews>
  <sheetFormatPr defaultColWidth="8.7109375" defaultRowHeight="12.75"/>
  <cols>
    <col min="1" max="1" width="2.42578125" customWidth="1"/>
    <col min="2" max="2" width="21.5703125" customWidth="1"/>
    <col min="3" max="3" width="103.5703125" customWidth="1"/>
    <col min="4" max="4" width="75" customWidth="1"/>
    <col min="5" max="5" width="60.7109375" customWidth="1"/>
  </cols>
  <sheetData>
    <row r="3" spans="2:5" ht="16.350000000000001" customHeight="1">
      <c r="B3" s="254" t="str">
        <f>CONTENTS!$B$2</f>
        <v>Petroleum and Gas Estimated Rehabilitation Cost Calculator</v>
      </c>
    </row>
    <row r="4" spans="2:5" ht="20.100000000000001" customHeight="1">
      <c r="B4" s="20" t="s">
        <v>305</v>
      </c>
      <c r="C4" s="255" t="s">
        <v>364</v>
      </c>
    </row>
    <row r="5" spans="2:5">
      <c r="B5" s="256"/>
    </row>
    <row r="6" spans="2:5">
      <c r="B6" s="257" t="s">
        <v>365</v>
      </c>
      <c r="C6" s="258" t="s">
        <v>366</v>
      </c>
      <c r="D6" s="258" t="s">
        <v>21</v>
      </c>
      <c r="E6" s="259" t="s">
        <v>367</v>
      </c>
    </row>
    <row r="7" spans="2:5" ht="331.5">
      <c r="B7" s="260" t="s">
        <v>368</v>
      </c>
      <c r="C7" s="261" t="s">
        <v>369</v>
      </c>
      <c r="D7" s="262" t="s">
        <v>370</v>
      </c>
      <c r="E7" s="274"/>
    </row>
    <row r="8" spans="2:5" ht="127.5">
      <c r="B8" s="263" t="s">
        <v>311</v>
      </c>
      <c r="C8" s="264" t="s">
        <v>371</v>
      </c>
      <c r="D8" s="264"/>
      <c r="E8" s="275"/>
    </row>
    <row r="9" spans="2:5" ht="51">
      <c r="B9" s="265" t="s">
        <v>313</v>
      </c>
      <c r="C9" s="266" t="s">
        <v>372</v>
      </c>
      <c r="D9" s="267" t="s">
        <v>373</v>
      </c>
      <c r="E9" s="274"/>
    </row>
    <row r="10" spans="2:5" ht="89.25">
      <c r="B10" s="265" t="s">
        <v>329</v>
      </c>
      <c r="C10" s="266" t="s">
        <v>374</v>
      </c>
      <c r="D10" s="266" t="s">
        <v>375</v>
      </c>
      <c r="E10" s="274"/>
    </row>
    <row r="11" spans="2:5" ht="63.75">
      <c r="B11" s="265" t="s">
        <v>330</v>
      </c>
      <c r="C11" s="266" t="s">
        <v>376</v>
      </c>
      <c r="D11" s="267" t="s">
        <v>377</v>
      </c>
      <c r="E11" s="274"/>
    </row>
    <row r="12" spans="2:5" ht="51">
      <c r="B12" s="265" t="s">
        <v>331</v>
      </c>
      <c r="C12" s="266" t="s">
        <v>378</v>
      </c>
      <c r="D12" s="267" t="s">
        <v>379</v>
      </c>
      <c r="E12" s="274"/>
    </row>
    <row r="13" spans="2:5" ht="51">
      <c r="B13" s="268" t="s">
        <v>380</v>
      </c>
      <c r="C13" s="266" t="s">
        <v>381</v>
      </c>
      <c r="D13" s="266" t="s">
        <v>382</v>
      </c>
      <c r="E13" s="142"/>
    </row>
    <row r="14" spans="2:5" ht="153">
      <c r="B14" s="265" t="s">
        <v>315</v>
      </c>
      <c r="C14" s="266" t="s">
        <v>383</v>
      </c>
      <c r="D14" s="266" t="s">
        <v>384</v>
      </c>
      <c r="E14" s="274"/>
    </row>
    <row r="15" spans="2:5" ht="127.5">
      <c r="B15" s="268" t="s">
        <v>317</v>
      </c>
      <c r="C15" s="266" t="s">
        <v>385</v>
      </c>
      <c r="D15" s="266" t="s">
        <v>386</v>
      </c>
      <c r="E15" s="274"/>
    </row>
    <row r="16" spans="2:5" ht="76.5">
      <c r="B16" s="269" t="s">
        <v>316</v>
      </c>
      <c r="C16" s="270" t="s">
        <v>387</v>
      </c>
      <c r="D16" s="271" t="s">
        <v>388</v>
      </c>
      <c r="E16" s="276"/>
    </row>
    <row r="17" spans="2:5" ht="51">
      <c r="B17" s="272" t="s">
        <v>389</v>
      </c>
      <c r="C17" s="261" t="s">
        <v>390</v>
      </c>
      <c r="D17" s="261" t="s">
        <v>391</v>
      </c>
      <c r="E17" s="277"/>
    </row>
    <row r="18" spans="2:5" ht="114.75">
      <c r="B18" s="272" t="s">
        <v>76</v>
      </c>
      <c r="C18" s="261" t="s">
        <v>392</v>
      </c>
      <c r="D18" s="261" t="s">
        <v>393</v>
      </c>
      <c r="E18" s="277"/>
    </row>
    <row r="19" spans="2:5" ht="114.75">
      <c r="B19" s="272" t="s">
        <v>394</v>
      </c>
      <c r="C19" s="261" t="s">
        <v>395</v>
      </c>
      <c r="D19" s="261" t="s">
        <v>396</v>
      </c>
      <c r="E19" s="277"/>
    </row>
    <row r="20" spans="2:5" ht="89.25">
      <c r="B20" s="272" t="s">
        <v>397</v>
      </c>
      <c r="C20" s="261" t="s">
        <v>398</v>
      </c>
      <c r="D20" s="261" t="s">
        <v>399</v>
      </c>
      <c r="E20" s="277"/>
    </row>
    <row r="21" spans="2:5" ht="191.25">
      <c r="B21" s="272" t="s">
        <v>400</v>
      </c>
      <c r="C21" s="261" t="s">
        <v>401</v>
      </c>
      <c r="D21" s="261" t="s">
        <v>402</v>
      </c>
      <c r="E21" s="277"/>
    </row>
    <row r="22" spans="2:5" ht="280.5">
      <c r="B22" s="272" t="s">
        <v>403</v>
      </c>
      <c r="C22" s="273" t="s">
        <v>404</v>
      </c>
      <c r="D22" s="261" t="s">
        <v>405</v>
      </c>
      <c r="E22" s="277"/>
    </row>
    <row r="23" spans="2:5" ht="89.25">
      <c r="B23" s="272" t="s">
        <v>406</v>
      </c>
      <c r="C23" s="261" t="s">
        <v>407</v>
      </c>
      <c r="D23" s="261" t="s">
        <v>408</v>
      </c>
      <c r="E23" s="277"/>
    </row>
    <row r="24" spans="2:5" ht="114.75">
      <c r="B24" s="272" t="s">
        <v>409</v>
      </c>
      <c r="C24" s="261" t="s">
        <v>410</v>
      </c>
      <c r="D24" s="261" t="s">
        <v>411</v>
      </c>
      <c r="E24" s="277"/>
    </row>
    <row r="25" spans="2:5" ht="89.25">
      <c r="B25" s="272" t="s">
        <v>412</v>
      </c>
      <c r="C25" s="261" t="s">
        <v>413</v>
      </c>
      <c r="D25" s="261" t="s">
        <v>414</v>
      </c>
      <c r="E25" s="277"/>
    </row>
    <row r="26" spans="2:5" ht="76.5">
      <c r="B26" s="272" t="s">
        <v>415</v>
      </c>
      <c r="C26" s="261" t="s">
        <v>416</v>
      </c>
      <c r="D26" s="261" t="s">
        <v>414</v>
      </c>
      <c r="E26" s="277"/>
    </row>
    <row r="27" spans="2:5" ht="51">
      <c r="B27" s="272" t="s">
        <v>417</v>
      </c>
      <c r="C27" s="261" t="s">
        <v>418</v>
      </c>
      <c r="D27" s="273" t="s">
        <v>419</v>
      </c>
      <c r="E27" s="277"/>
    </row>
    <row r="28" spans="2:5" ht="38.25">
      <c r="B28" s="272" t="s">
        <v>420</v>
      </c>
      <c r="C28" s="273" t="s">
        <v>421</v>
      </c>
      <c r="D28" s="273"/>
      <c r="E28" s="277"/>
    </row>
  </sheetData>
  <sheetProtection algorithmName="SHA-512" hashValue="qI5gsBkscXF9S9GXdfIbWzEMDFJjE/t1831LAgMNgkixxBIe/K3YRlIl4ScV7R4sdQ6QaEOFbJPSIyftHqZgtQ==" saltValue="MTd61tcLmo5SXP4gxpckpw==" spinCount="100000" sheet="1" objects="1" scenarios="1" autoFilter="0"/>
  <hyperlinks>
    <hyperlink ref="B4" location="CONTENTS" display="Contents" xr:uid="{F325D64F-8C01-4258-85AE-B41375AC503C}"/>
  </hyperlinks>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6471B-9D38-4203-A330-02FE471075DD}">
  <sheetPr codeName="Sheet5">
    <pageSetUpPr fitToPage="1"/>
  </sheetPr>
  <dimension ref="A1:HS152"/>
  <sheetViews>
    <sheetView showGridLines="0" zoomScaleNormal="100" zoomScaleSheetLayoutView="100" workbookViewId="0">
      <pane ySplit="6" topLeftCell="A7" activePane="bottomLeft" state="frozen"/>
      <selection pane="bottomLeft"/>
    </sheetView>
  </sheetViews>
  <sheetFormatPr defaultColWidth="0" defaultRowHeight="12.75" zeroHeight="1"/>
  <cols>
    <col min="1" max="3" width="2.42578125" style="231" customWidth="1"/>
    <col min="4" max="4" width="66.5703125" style="231" customWidth="1"/>
    <col min="5" max="5" width="10.42578125" style="231" customWidth="1"/>
    <col min="6" max="6" width="12.5703125" style="231" customWidth="1"/>
    <col min="7" max="7" width="10.42578125" style="231" customWidth="1"/>
    <col min="8" max="8" width="24.5703125" style="231" customWidth="1"/>
    <col min="9" max="10" width="2.42578125" style="231" customWidth="1"/>
    <col min="11" max="248" width="9.28515625" style="231" customWidth="1"/>
    <col min="249" max="250" width="2.42578125" style="231" customWidth="1"/>
    <col min="251" max="251" width="9.28515625" style="231" customWidth="1"/>
    <col min="252" max="252" width="11.28515625" style="231" customWidth="1"/>
    <col min="253" max="255" width="9.28515625" style="231" customWidth="1"/>
    <col min="256" max="256" width="4.42578125" style="231" customWidth="1"/>
    <col min="257" max="260" width="9.28515625" style="231" customWidth="1"/>
    <col min="261" max="261" width="7.7109375" style="231" customWidth="1"/>
    <col min="262" max="263" width="2.42578125" style="231" customWidth="1"/>
    <col min="264" max="504" width="0" style="231" hidden="1"/>
    <col min="505" max="506" width="2.42578125" style="231" customWidth="1"/>
    <col min="507" max="511" width="9.28515625" style="231" customWidth="1"/>
    <col min="512" max="512" width="4.42578125" style="231" customWidth="1"/>
    <col min="513" max="516" width="9.28515625" style="231" customWidth="1"/>
    <col min="517" max="517" width="7.7109375" style="231" customWidth="1"/>
    <col min="518" max="519" width="2.42578125" style="231" customWidth="1"/>
    <col min="520" max="760" width="0" style="231" hidden="1"/>
    <col min="761" max="762" width="2.42578125" style="231" customWidth="1"/>
    <col min="763" max="767" width="9.28515625" style="231" customWidth="1"/>
    <col min="768" max="768" width="4.42578125" style="231" customWidth="1"/>
    <col min="769" max="772" width="9.28515625" style="231" customWidth="1"/>
    <col min="773" max="773" width="7.7109375" style="231" customWidth="1"/>
    <col min="774" max="775" width="2.42578125" style="231" customWidth="1"/>
    <col min="776" max="1016" width="0" style="231" hidden="1"/>
    <col min="1017" max="1018" width="2.42578125" style="231" customWidth="1"/>
    <col min="1019" max="1023" width="9.28515625" style="231" customWidth="1"/>
    <col min="1024" max="1024" width="4.42578125" style="231" customWidth="1"/>
    <col min="1025" max="1028" width="9.28515625" style="231" customWidth="1"/>
    <col min="1029" max="1029" width="7.7109375" style="231" customWidth="1"/>
    <col min="1030" max="1031" width="2.42578125" style="231" customWidth="1"/>
    <col min="1032" max="1272" width="0" style="231" hidden="1"/>
    <col min="1273" max="1274" width="2.42578125" style="231" customWidth="1"/>
    <col min="1275" max="1279" width="9.28515625" style="231" customWidth="1"/>
    <col min="1280" max="1280" width="4.42578125" style="231" customWidth="1"/>
    <col min="1281" max="1284" width="9.28515625" style="231" customWidth="1"/>
    <col min="1285" max="1285" width="7.7109375" style="231" customWidth="1"/>
    <col min="1286" max="1287" width="2.42578125" style="231" customWidth="1"/>
    <col min="1288" max="1528" width="0" style="231" hidden="1"/>
    <col min="1529" max="1530" width="2.42578125" style="231" customWidth="1"/>
    <col min="1531" max="1535" width="9.28515625" style="231" customWidth="1"/>
    <col min="1536" max="1536" width="4.42578125" style="231" customWidth="1"/>
    <col min="1537" max="1540" width="9.28515625" style="231" customWidth="1"/>
    <col min="1541" max="1541" width="7.7109375" style="231" customWidth="1"/>
    <col min="1542" max="1543" width="2.42578125" style="231" customWidth="1"/>
    <col min="1544" max="1784" width="0" style="231" hidden="1"/>
    <col min="1785" max="1786" width="2.42578125" style="231" customWidth="1"/>
    <col min="1787" max="1791" width="9.28515625" style="231" customWidth="1"/>
    <col min="1792" max="1792" width="4.42578125" style="231" customWidth="1"/>
    <col min="1793" max="1796" width="9.28515625" style="231" customWidth="1"/>
    <col min="1797" max="1797" width="7.7109375" style="231" customWidth="1"/>
    <col min="1798" max="1799" width="2.42578125" style="231" customWidth="1"/>
    <col min="1800" max="2040" width="0" style="231" hidden="1"/>
    <col min="2041" max="2042" width="2.42578125" style="231" customWidth="1"/>
    <col min="2043" max="2047" width="9.28515625" style="231" customWidth="1"/>
    <col min="2048" max="2048" width="4.42578125" style="231" customWidth="1"/>
    <col min="2049" max="2052" width="9.28515625" style="231" customWidth="1"/>
    <col min="2053" max="2053" width="7.7109375" style="231" customWidth="1"/>
    <col min="2054" max="2055" width="2.42578125" style="231" customWidth="1"/>
    <col min="2056" max="2296" width="0" style="231" hidden="1"/>
    <col min="2297" max="2298" width="2.42578125" style="231" customWidth="1"/>
    <col min="2299" max="2303" width="9.28515625" style="231" customWidth="1"/>
    <col min="2304" max="2304" width="4.42578125" style="231" customWidth="1"/>
    <col min="2305" max="2308" width="9.28515625" style="231" customWidth="1"/>
    <col min="2309" max="2309" width="7.7109375" style="231" customWidth="1"/>
    <col min="2310" max="2311" width="2.42578125" style="231" customWidth="1"/>
    <col min="2312" max="2552" width="0" style="231" hidden="1"/>
    <col min="2553" max="2554" width="2.42578125" style="231" customWidth="1"/>
    <col min="2555" max="2559" width="9.28515625" style="231" customWidth="1"/>
    <col min="2560" max="2560" width="4.42578125" style="231" customWidth="1"/>
    <col min="2561" max="2564" width="9.28515625" style="231" customWidth="1"/>
    <col min="2565" max="2565" width="7.7109375" style="231" customWidth="1"/>
    <col min="2566" max="2567" width="2.42578125" style="231" customWidth="1"/>
    <col min="2568" max="2808" width="0" style="231" hidden="1"/>
    <col min="2809" max="2810" width="2.42578125" style="231" customWidth="1"/>
    <col min="2811" max="2815" width="9.28515625" style="231" customWidth="1"/>
    <col min="2816" max="2816" width="4.42578125" style="231" customWidth="1"/>
    <col min="2817" max="2820" width="9.28515625" style="231" customWidth="1"/>
    <col min="2821" max="2821" width="7.7109375" style="231" customWidth="1"/>
    <col min="2822" max="2823" width="2.42578125" style="231" customWidth="1"/>
    <col min="2824" max="3064" width="0" style="231" hidden="1"/>
    <col min="3065" max="3066" width="2.42578125" style="231" customWidth="1"/>
    <col min="3067" max="3071" width="9.28515625" style="231" customWidth="1"/>
    <col min="3072" max="3072" width="4.42578125" style="231" customWidth="1"/>
    <col min="3073" max="3076" width="9.28515625" style="231" customWidth="1"/>
    <col min="3077" max="3077" width="7.7109375" style="231" customWidth="1"/>
    <col min="3078" max="3079" width="2.42578125" style="231" customWidth="1"/>
    <col min="3080" max="3320" width="0" style="231" hidden="1"/>
    <col min="3321" max="3322" width="2.42578125" style="231" customWidth="1"/>
    <col min="3323" max="3327" width="9.28515625" style="231" customWidth="1"/>
    <col min="3328" max="3328" width="4.42578125" style="231" customWidth="1"/>
    <col min="3329" max="3332" width="9.28515625" style="231" customWidth="1"/>
    <col min="3333" max="3333" width="7.7109375" style="231" customWidth="1"/>
    <col min="3334" max="3335" width="2.42578125" style="231" customWidth="1"/>
    <col min="3336" max="3576" width="0" style="231" hidden="1"/>
    <col min="3577" max="3578" width="2.42578125" style="231" customWidth="1"/>
    <col min="3579" max="3583" width="9.28515625" style="231" customWidth="1"/>
    <col min="3584" max="3584" width="4.42578125" style="231" customWidth="1"/>
    <col min="3585" max="3588" width="9.28515625" style="231" customWidth="1"/>
    <col min="3589" max="3589" width="7.7109375" style="231" customWidth="1"/>
    <col min="3590" max="3591" width="2.42578125" style="231" customWidth="1"/>
    <col min="3592" max="3832" width="0" style="231" hidden="1"/>
    <col min="3833" max="3834" width="2.42578125" style="231" customWidth="1"/>
    <col min="3835" max="3839" width="9.28515625" style="231" customWidth="1"/>
    <col min="3840" max="3840" width="4.42578125" style="231" customWidth="1"/>
    <col min="3841" max="3844" width="9.28515625" style="231" customWidth="1"/>
    <col min="3845" max="3845" width="7.7109375" style="231" customWidth="1"/>
    <col min="3846" max="3847" width="2.42578125" style="231" customWidth="1"/>
    <col min="3848" max="4088" width="0" style="231" hidden="1"/>
    <col min="4089" max="4090" width="2.42578125" style="231" customWidth="1"/>
    <col min="4091" max="4095" width="9.28515625" style="231" customWidth="1"/>
    <col min="4096" max="4096" width="4.42578125" style="231" customWidth="1"/>
    <col min="4097" max="4100" width="9.28515625" style="231" customWidth="1"/>
    <col min="4101" max="4101" width="7.7109375" style="231" customWidth="1"/>
    <col min="4102" max="4103" width="2.42578125" style="231" customWidth="1"/>
    <col min="4104" max="4344" width="0" style="231" hidden="1"/>
    <col min="4345" max="4346" width="2.42578125" style="231" customWidth="1"/>
    <col min="4347" max="4351" width="9.28515625" style="231" customWidth="1"/>
    <col min="4352" max="4352" width="4.42578125" style="231" customWidth="1"/>
    <col min="4353" max="4356" width="9.28515625" style="231" customWidth="1"/>
    <col min="4357" max="4357" width="7.7109375" style="231" customWidth="1"/>
    <col min="4358" max="4359" width="2.42578125" style="231" customWidth="1"/>
    <col min="4360" max="4600" width="0" style="231" hidden="1"/>
    <col min="4601" max="4602" width="2.42578125" style="231" customWidth="1"/>
    <col min="4603" max="4607" width="9.28515625" style="231" customWidth="1"/>
    <col min="4608" max="4608" width="4.42578125" style="231" customWidth="1"/>
    <col min="4609" max="4612" width="9.28515625" style="231" customWidth="1"/>
    <col min="4613" max="4613" width="7.7109375" style="231" customWidth="1"/>
    <col min="4614" max="4615" width="2.42578125" style="231" customWidth="1"/>
    <col min="4616" max="4856" width="0" style="231" hidden="1"/>
    <col min="4857" max="4858" width="2.42578125" style="231" customWidth="1"/>
    <col min="4859" max="4863" width="9.28515625" style="231" customWidth="1"/>
    <col min="4864" max="4864" width="4.42578125" style="231" customWidth="1"/>
    <col min="4865" max="4868" width="9.28515625" style="231" customWidth="1"/>
    <col min="4869" max="4869" width="7.7109375" style="231" customWidth="1"/>
    <col min="4870" max="4871" width="2.42578125" style="231" customWidth="1"/>
    <col min="4872" max="5112" width="0" style="231" hidden="1"/>
    <col min="5113" max="5114" width="2.42578125" style="231" customWidth="1"/>
    <col min="5115" max="5119" width="9.28515625" style="231" customWidth="1"/>
    <col min="5120" max="5120" width="4.42578125" style="231" customWidth="1"/>
    <col min="5121" max="5124" width="9.28515625" style="231" customWidth="1"/>
    <col min="5125" max="5125" width="7.7109375" style="231" customWidth="1"/>
    <col min="5126" max="5127" width="2.42578125" style="231" customWidth="1"/>
    <col min="5128" max="5368" width="0" style="231" hidden="1"/>
    <col min="5369" max="5370" width="2.42578125" style="231" customWidth="1"/>
    <col min="5371" max="5375" width="9.28515625" style="231" customWidth="1"/>
    <col min="5376" max="5376" width="4.42578125" style="231" customWidth="1"/>
    <col min="5377" max="5380" width="9.28515625" style="231" customWidth="1"/>
    <col min="5381" max="5381" width="7.7109375" style="231" customWidth="1"/>
    <col min="5382" max="5383" width="2.42578125" style="231" customWidth="1"/>
    <col min="5384" max="5624" width="0" style="231" hidden="1"/>
    <col min="5625" max="5626" width="2.42578125" style="231" customWidth="1"/>
    <col min="5627" max="5631" width="9.28515625" style="231" customWidth="1"/>
    <col min="5632" max="5632" width="4.42578125" style="231" customWidth="1"/>
    <col min="5633" max="5636" width="9.28515625" style="231" customWidth="1"/>
    <col min="5637" max="5637" width="7.7109375" style="231" customWidth="1"/>
    <col min="5638" max="5639" width="2.42578125" style="231" customWidth="1"/>
    <col min="5640" max="5880" width="0" style="231" hidden="1"/>
    <col min="5881" max="5882" width="2.42578125" style="231" customWidth="1"/>
    <col min="5883" max="5887" width="9.28515625" style="231" customWidth="1"/>
    <col min="5888" max="5888" width="4.42578125" style="231" customWidth="1"/>
    <col min="5889" max="5892" width="9.28515625" style="231" customWidth="1"/>
    <col min="5893" max="5893" width="7.7109375" style="231" customWidth="1"/>
    <col min="5894" max="5895" width="2.42578125" style="231" customWidth="1"/>
    <col min="5896" max="6136" width="0" style="231" hidden="1"/>
    <col min="6137" max="6138" width="2.42578125" style="231" customWidth="1"/>
    <col min="6139" max="6143" width="9.28515625" style="231" customWidth="1"/>
    <col min="6144" max="6144" width="4.42578125" style="231" customWidth="1"/>
    <col min="6145" max="6148" width="9.28515625" style="231" customWidth="1"/>
    <col min="6149" max="6149" width="7.7109375" style="231" customWidth="1"/>
    <col min="6150" max="6151" width="2.42578125" style="231" customWidth="1"/>
    <col min="6152" max="6392" width="0" style="231" hidden="1"/>
    <col min="6393" max="6394" width="2.42578125" style="231" customWidth="1"/>
    <col min="6395" max="6399" width="9.28515625" style="231" customWidth="1"/>
    <col min="6400" max="6400" width="4.42578125" style="231" customWidth="1"/>
    <col min="6401" max="6404" width="9.28515625" style="231" customWidth="1"/>
    <col min="6405" max="6405" width="7.7109375" style="231" customWidth="1"/>
    <col min="6406" max="6407" width="2.42578125" style="231" customWidth="1"/>
    <col min="6408" max="6648" width="0" style="231" hidden="1"/>
    <col min="6649" max="6650" width="2.42578125" style="231" customWidth="1"/>
    <col min="6651" max="6655" width="9.28515625" style="231" customWidth="1"/>
    <col min="6656" max="6656" width="4.42578125" style="231" customWidth="1"/>
    <col min="6657" max="6660" width="9.28515625" style="231" customWidth="1"/>
    <col min="6661" max="6661" width="7.7109375" style="231" customWidth="1"/>
    <col min="6662" max="6663" width="2.42578125" style="231" customWidth="1"/>
    <col min="6664" max="6904" width="0" style="231" hidden="1"/>
    <col min="6905" max="6906" width="2.42578125" style="231" customWidth="1"/>
    <col min="6907" max="6911" width="9.28515625" style="231" customWidth="1"/>
    <col min="6912" max="6912" width="4.42578125" style="231" customWidth="1"/>
    <col min="6913" max="6916" width="9.28515625" style="231" customWidth="1"/>
    <col min="6917" max="6917" width="7.7109375" style="231" customWidth="1"/>
    <col min="6918" max="6919" width="2.42578125" style="231" customWidth="1"/>
    <col min="6920" max="7160" width="0" style="231" hidden="1"/>
    <col min="7161" max="7162" width="2.42578125" style="231" customWidth="1"/>
    <col min="7163" max="7167" width="9.28515625" style="231" customWidth="1"/>
    <col min="7168" max="7168" width="4.42578125" style="231" customWidth="1"/>
    <col min="7169" max="7172" width="9.28515625" style="231" customWidth="1"/>
    <col min="7173" max="7173" width="7.7109375" style="231" customWidth="1"/>
    <col min="7174" max="7175" width="2.42578125" style="231" customWidth="1"/>
    <col min="7176" max="7416" width="0" style="231" hidden="1"/>
    <col min="7417" max="7418" width="2.42578125" style="231" customWidth="1"/>
    <col min="7419" max="7423" width="9.28515625" style="231" customWidth="1"/>
    <col min="7424" max="7424" width="4.42578125" style="231" customWidth="1"/>
    <col min="7425" max="7428" width="9.28515625" style="231" customWidth="1"/>
    <col min="7429" max="7429" width="7.7109375" style="231" customWidth="1"/>
    <col min="7430" max="7431" width="2.42578125" style="231" customWidth="1"/>
    <col min="7432" max="7672" width="0" style="231" hidden="1"/>
    <col min="7673" max="7674" width="2.42578125" style="231" customWidth="1"/>
    <col min="7675" max="7679" width="9.28515625" style="231" customWidth="1"/>
    <col min="7680" max="7680" width="4.42578125" style="231" customWidth="1"/>
    <col min="7681" max="7684" width="9.28515625" style="231" customWidth="1"/>
    <col min="7685" max="7685" width="7.7109375" style="231" customWidth="1"/>
    <col min="7686" max="7687" width="2.42578125" style="231" customWidth="1"/>
    <col min="7688" max="7928" width="0" style="231" hidden="1"/>
    <col min="7929" max="7930" width="2.42578125" style="231" customWidth="1"/>
    <col min="7931" max="7935" width="9.28515625" style="231" customWidth="1"/>
    <col min="7936" max="7936" width="4.42578125" style="231" customWidth="1"/>
    <col min="7937" max="7940" width="9.28515625" style="231" customWidth="1"/>
    <col min="7941" max="7941" width="7.7109375" style="231" customWidth="1"/>
    <col min="7942" max="7943" width="2.42578125" style="231" customWidth="1"/>
    <col min="7944" max="8184" width="0" style="231" hidden="1"/>
    <col min="8185" max="8186" width="2.42578125" style="231" customWidth="1"/>
    <col min="8187" max="8191" width="9.28515625" style="231" customWidth="1"/>
    <col min="8192" max="8192" width="4.42578125" style="231" customWidth="1"/>
    <col min="8193" max="8196" width="9.28515625" style="231" customWidth="1"/>
    <col min="8197" max="8197" width="7.7109375" style="231" customWidth="1"/>
    <col min="8198" max="8199" width="2.42578125" style="231" customWidth="1"/>
    <col min="8200" max="8440" width="0" style="231" hidden="1"/>
    <col min="8441" max="8442" width="2.42578125" style="231" customWidth="1"/>
    <col min="8443" max="8447" width="9.28515625" style="231" customWidth="1"/>
    <col min="8448" max="8448" width="4.42578125" style="231" customWidth="1"/>
    <col min="8449" max="8452" width="9.28515625" style="231" customWidth="1"/>
    <col min="8453" max="8453" width="7.7109375" style="231" customWidth="1"/>
    <col min="8454" max="8455" width="2.42578125" style="231" customWidth="1"/>
    <col min="8456" max="8696" width="0" style="231" hidden="1"/>
    <col min="8697" max="8698" width="2.42578125" style="231" customWidth="1"/>
    <col min="8699" max="8703" width="9.28515625" style="231" customWidth="1"/>
    <col min="8704" max="8704" width="4.42578125" style="231" customWidth="1"/>
    <col min="8705" max="8708" width="9.28515625" style="231" customWidth="1"/>
    <col min="8709" max="8709" width="7.7109375" style="231" customWidth="1"/>
    <col min="8710" max="8711" width="2.42578125" style="231" customWidth="1"/>
    <col min="8712" max="8952" width="0" style="231" hidden="1"/>
    <col min="8953" max="8954" width="2.42578125" style="231" customWidth="1"/>
    <col min="8955" max="8959" width="9.28515625" style="231" customWidth="1"/>
    <col min="8960" max="8960" width="4.42578125" style="231" customWidth="1"/>
    <col min="8961" max="8964" width="9.28515625" style="231" customWidth="1"/>
    <col min="8965" max="8965" width="7.7109375" style="231" customWidth="1"/>
    <col min="8966" max="8967" width="2.42578125" style="231" customWidth="1"/>
    <col min="8968" max="9208" width="0" style="231" hidden="1"/>
    <col min="9209" max="9210" width="2.42578125" style="231" customWidth="1"/>
    <col min="9211" max="9215" width="9.28515625" style="231" customWidth="1"/>
    <col min="9216" max="9216" width="4.42578125" style="231" customWidth="1"/>
    <col min="9217" max="9220" width="9.28515625" style="231" customWidth="1"/>
    <col min="9221" max="9221" width="7.7109375" style="231" customWidth="1"/>
    <col min="9222" max="9223" width="2.42578125" style="231" customWidth="1"/>
    <col min="9224" max="9464" width="0" style="231" hidden="1"/>
    <col min="9465" max="9466" width="2.42578125" style="231" customWidth="1"/>
    <col min="9467" max="9471" width="9.28515625" style="231" customWidth="1"/>
    <col min="9472" max="9472" width="4.42578125" style="231" customWidth="1"/>
    <col min="9473" max="9476" width="9.28515625" style="231" customWidth="1"/>
    <col min="9477" max="9477" width="7.7109375" style="231" customWidth="1"/>
    <col min="9478" max="9479" width="2.42578125" style="231" customWidth="1"/>
    <col min="9480" max="9720" width="0" style="231" hidden="1"/>
    <col min="9721" max="9722" width="2.42578125" style="231" customWidth="1"/>
    <col min="9723" max="9727" width="9.28515625" style="231" customWidth="1"/>
    <col min="9728" max="9728" width="4.42578125" style="231" customWidth="1"/>
    <col min="9729" max="9732" width="9.28515625" style="231" customWidth="1"/>
    <col min="9733" max="9733" width="7.7109375" style="231" customWidth="1"/>
    <col min="9734" max="9735" width="2.42578125" style="231" customWidth="1"/>
    <col min="9736" max="9976" width="0" style="231" hidden="1"/>
    <col min="9977" max="9978" width="2.42578125" style="231" customWidth="1"/>
    <col min="9979" max="9983" width="9.28515625" style="231" customWidth="1"/>
    <col min="9984" max="9984" width="4.42578125" style="231" customWidth="1"/>
    <col min="9985" max="9988" width="9.28515625" style="231" customWidth="1"/>
    <col min="9989" max="9989" width="7.7109375" style="231" customWidth="1"/>
    <col min="9990" max="9991" width="2.42578125" style="231" customWidth="1"/>
    <col min="9992" max="10232" width="0" style="231" hidden="1"/>
    <col min="10233" max="10234" width="2.42578125" style="231" customWidth="1"/>
    <col min="10235" max="10239" width="9.28515625" style="231" customWidth="1"/>
    <col min="10240" max="10240" width="4.42578125" style="231" customWidth="1"/>
    <col min="10241" max="10244" width="9.28515625" style="231" customWidth="1"/>
    <col min="10245" max="10245" width="7.7109375" style="231" customWidth="1"/>
    <col min="10246" max="10247" width="2.42578125" style="231" customWidth="1"/>
    <col min="10248" max="10488" width="0" style="231" hidden="1"/>
    <col min="10489" max="10490" width="2.42578125" style="231" customWidth="1"/>
    <col min="10491" max="10495" width="9.28515625" style="231" customWidth="1"/>
    <col min="10496" max="10496" width="4.42578125" style="231" customWidth="1"/>
    <col min="10497" max="10500" width="9.28515625" style="231" customWidth="1"/>
    <col min="10501" max="10501" width="7.7109375" style="231" customWidth="1"/>
    <col min="10502" max="10503" width="2.42578125" style="231" customWidth="1"/>
    <col min="10504" max="10744" width="0" style="231" hidden="1"/>
    <col min="10745" max="10746" width="2.42578125" style="231" customWidth="1"/>
    <col min="10747" max="10751" width="9.28515625" style="231" customWidth="1"/>
    <col min="10752" max="10752" width="4.42578125" style="231" customWidth="1"/>
    <col min="10753" max="10756" width="9.28515625" style="231" customWidth="1"/>
    <col min="10757" max="10757" width="7.7109375" style="231" customWidth="1"/>
    <col min="10758" max="10759" width="2.42578125" style="231" customWidth="1"/>
    <col min="10760" max="11000" width="0" style="231" hidden="1"/>
    <col min="11001" max="11002" width="2.42578125" style="231" customWidth="1"/>
    <col min="11003" max="11007" width="9.28515625" style="231" customWidth="1"/>
    <col min="11008" max="11008" width="4.42578125" style="231" customWidth="1"/>
    <col min="11009" max="11012" width="9.28515625" style="231" customWidth="1"/>
    <col min="11013" max="11013" width="7.7109375" style="231" customWidth="1"/>
    <col min="11014" max="11015" width="2.42578125" style="231" customWidth="1"/>
    <col min="11016" max="11256" width="0" style="231" hidden="1"/>
    <col min="11257" max="11258" width="2.42578125" style="231" customWidth="1"/>
    <col min="11259" max="11263" width="9.28515625" style="231" customWidth="1"/>
    <col min="11264" max="11264" width="4.42578125" style="231" customWidth="1"/>
    <col min="11265" max="11268" width="9.28515625" style="231" customWidth="1"/>
    <col min="11269" max="11269" width="7.7109375" style="231" customWidth="1"/>
    <col min="11270" max="11271" width="2.42578125" style="231" customWidth="1"/>
    <col min="11272" max="11512" width="0" style="231" hidden="1"/>
    <col min="11513" max="11514" width="2.42578125" style="231" customWidth="1"/>
    <col min="11515" max="11519" width="9.28515625" style="231" customWidth="1"/>
    <col min="11520" max="11520" width="4.42578125" style="231" customWidth="1"/>
    <col min="11521" max="11524" width="9.28515625" style="231" customWidth="1"/>
    <col min="11525" max="11525" width="7.7109375" style="231" customWidth="1"/>
    <col min="11526" max="11527" width="2.42578125" style="231" customWidth="1"/>
    <col min="11528" max="11768" width="0" style="231" hidden="1"/>
    <col min="11769" max="11770" width="2.42578125" style="231" customWidth="1"/>
    <col min="11771" max="11775" width="9.28515625" style="231" customWidth="1"/>
    <col min="11776" max="11776" width="4.42578125" style="231" customWidth="1"/>
    <col min="11777" max="11780" width="9.28515625" style="231" customWidth="1"/>
    <col min="11781" max="11781" width="7.7109375" style="231" customWidth="1"/>
    <col min="11782" max="11783" width="2.42578125" style="231" customWidth="1"/>
    <col min="11784" max="12024" width="0" style="231" hidden="1"/>
    <col min="12025" max="12026" width="2.42578125" style="231" customWidth="1"/>
    <col min="12027" max="12031" width="9.28515625" style="231" customWidth="1"/>
    <col min="12032" max="12032" width="4.42578125" style="231" customWidth="1"/>
    <col min="12033" max="12036" width="9.28515625" style="231" customWidth="1"/>
    <col min="12037" max="12037" width="7.7109375" style="231" customWidth="1"/>
    <col min="12038" max="12039" width="2.42578125" style="231" customWidth="1"/>
    <col min="12040" max="12280" width="0" style="231" hidden="1"/>
    <col min="12281" max="12282" width="2.42578125" style="231" customWidth="1"/>
    <col min="12283" max="12287" width="9.28515625" style="231" customWidth="1"/>
    <col min="12288" max="12288" width="4.42578125" style="231" customWidth="1"/>
    <col min="12289" max="12292" width="9.28515625" style="231" customWidth="1"/>
    <col min="12293" max="12293" width="7.7109375" style="231" customWidth="1"/>
    <col min="12294" max="12295" width="2.42578125" style="231" customWidth="1"/>
    <col min="12296" max="12536" width="0" style="231" hidden="1"/>
    <col min="12537" max="12538" width="2.42578125" style="231" customWidth="1"/>
    <col min="12539" max="12543" width="9.28515625" style="231" customWidth="1"/>
    <col min="12544" max="12544" width="4.42578125" style="231" customWidth="1"/>
    <col min="12545" max="12548" width="9.28515625" style="231" customWidth="1"/>
    <col min="12549" max="12549" width="7.7109375" style="231" customWidth="1"/>
    <col min="12550" max="12551" width="2.42578125" style="231" customWidth="1"/>
    <col min="12552" max="12792" width="0" style="231" hidden="1"/>
    <col min="12793" max="12794" width="2.42578125" style="231" customWidth="1"/>
    <col min="12795" max="12799" width="9.28515625" style="231" customWidth="1"/>
    <col min="12800" max="12800" width="4.42578125" style="231" customWidth="1"/>
    <col min="12801" max="12804" width="9.28515625" style="231" customWidth="1"/>
    <col min="12805" max="12805" width="7.7109375" style="231" customWidth="1"/>
    <col min="12806" max="12807" width="2.42578125" style="231" customWidth="1"/>
    <col min="12808" max="13048" width="0" style="231" hidden="1"/>
    <col min="13049" max="13050" width="2.42578125" style="231" customWidth="1"/>
    <col min="13051" max="13055" width="9.28515625" style="231" customWidth="1"/>
    <col min="13056" max="13056" width="4.42578125" style="231" customWidth="1"/>
    <col min="13057" max="13060" width="9.28515625" style="231" customWidth="1"/>
    <col min="13061" max="13061" width="7.7109375" style="231" customWidth="1"/>
    <col min="13062" max="13063" width="2.42578125" style="231" customWidth="1"/>
    <col min="13064" max="13304" width="0" style="231" hidden="1"/>
    <col min="13305" max="13306" width="2.42578125" style="231" customWidth="1"/>
    <col min="13307" max="13311" width="9.28515625" style="231" customWidth="1"/>
    <col min="13312" max="13312" width="4.42578125" style="231" customWidth="1"/>
    <col min="13313" max="13316" width="9.28515625" style="231" customWidth="1"/>
    <col min="13317" max="13317" width="7.7109375" style="231" customWidth="1"/>
    <col min="13318" max="13319" width="2.42578125" style="231" customWidth="1"/>
    <col min="13320" max="13560" width="0" style="231" hidden="1"/>
    <col min="13561" max="13562" width="2.42578125" style="231" customWidth="1"/>
    <col min="13563" max="13567" width="9.28515625" style="231" customWidth="1"/>
    <col min="13568" max="13568" width="4.42578125" style="231" customWidth="1"/>
    <col min="13569" max="13572" width="9.28515625" style="231" customWidth="1"/>
    <col min="13573" max="13573" width="7.7109375" style="231" customWidth="1"/>
    <col min="13574" max="13575" width="2.42578125" style="231" customWidth="1"/>
    <col min="13576" max="13816" width="0" style="231" hidden="1"/>
    <col min="13817" max="13818" width="2.42578125" style="231" customWidth="1"/>
    <col min="13819" max="13823" width="9.28515625" style="231" customWidth="1"/>
    <col min="13824" max="13824" width="4.42578125" style="231" customWidth="1"/>
    <col min="13825" max="13828" width="9.28515625" style="231" customWidth="1"/>
    <col min="13829" max="13829" width="7.7109375" style="231" customWidth="1"/>
    <col min="13830" max="13831" width="2.42578125" style="231" customWidth="1"/>
    <col min="13832" max="14072" width="0" style="231" hidden="1"/>
    <col min="14073" max="14074" width="2.42578125" style="231" customWidth="1"/>
    <col min="14075" max="14079" width="9.28515625" style="231" customWidth="1"/>
    <col min="14080" max="14080" width="4.42578125" style="231" customWidth="1"/>
    <col min="14081" max="14084" width="9.28515625" style="231" customWidth="1"/>
    <col min="14085" max="14085" width="7.7109375" style="231" customWidth="1"/>
    <col min="14086" max="14087" width="2.42578125" style="231" customWidth="1"/>
    <col min="14088" max="14328" width="0" style="231" hidden="1"/>
    <col min="14329" max="14330" width="2.42578125" style="231" customWidth="1"/>
    <col min="14331" max="14335" width="9.28515625" style="231" customWidth="1"/>
    <col min="14336" max="14336" width="4.42578125" style="231" customWidth="1"/>
    <col min="14337" max="14340" width="9.28515625" style="231" customWidth="1"/>
    <col min="14341" max="14341" width="7.7109375" style="231" customWidth="1"/>
    <col min="14342" max="14343" width="2.42578125" style="231" customWidth="1"/>
    <col min="14344" max="14584" width="0" style="231" hidden="1"/>
    <col min="14585" max="14586" width="2.42578125" style="231" customWidth="1"/>
    <col min="14587" max="14591" width="9.28515625" style="231" customWidth="1"/>
    <col min="14592" max="14592" width="4.42578125" style="231" customWidth="1"/>
    <col min="14593" max="14596" width="9.28515625" style="231" customWidth="1"/>
    <col min="14597" max="14597" width="7.7109375" style="231" customWidth="1"/>
    <col min="14598" max="14599" width="2.42578125" style="231" customWidth="1"/>
    <col min="14600" max="14840" width="0" style="231" hidden="1"/>
    <col min="14841" max="14842" width="2.42578125" style="231" customWidth="1"/>
    <col min="14843" max="14847" width="9.28515625" style="231" customWidth="1"/>
    <col min="14848" max="14848" width="4.42578125" style="231" customWidth="1"/>
    <col min="14849" max="14852" width="9.28515625" style="231" customWidth="1"/>
    <col min="14853" max="14853" width="7.7109375" style="231" customWidth="1"/>
    <col min="14854" max="14855" width="2.42578125" style="231" customWidth="1"/>
    <col min="14856" max="15096" width="0" style="231" hidden="1"/>
    <col min="15097" max="15098" width="2.42578125" style="231" customWidth="1"/>
    <col min="15099" max="15103" width="9.28515625" style="231" customWidth="1"/>
    <col min="15104" max="15104" width="4.42578125" style="231" customWidth="1"/>
    <col min="15105" max="15108" width="9.28515625" style="231" customWidth="1"/>
    <col min="15109" max="15109" width="7.7109375" style="231" customWidth="1"/>
    <col min="15110" max="15111" width="2.42578125" style="231" customWidth="1"/>
    <col min="15112" max="15352" width="0" style="231" hidden="1"/>
    <col min="15353" max="15354" width="2.42578125" style="231" customWidth="1"/>
    <col min="15355" max="15359" width="9.28515625" style="231" customWidth="1"/>
    <col min="15360" max="15360" width="4.42578125" style="231" customWidth="1"/>
    <col min="15361" max="15364" width="9.28515625" style="231" customWidth="1"/>
    <col min="15365" max="15365" width="7.7109375" style="231" customWidth="1"/>
    <col min="15366" max="15367" width="2.42578125" style="231" customWidth="1"/>
    <col min="15368" max="15608" width="0" style="231" hidden="1"/>
    <col min="15609" max="15610" width="2.42578125" style="231" customWidth="1"/>
    <col min="15611" max="15615" width="9.28515625" style="231" customWidth="1"/>
    <col min="15616" max="15616" width="4.42578125" style="231" customWidth="1"/>
    <col min="15617" max="15620" width="9.28515625" style="231" customWidth="1"/>
    <col min="15621" max="15621" width="7.7109375" style="231" customWidth="1"/>
    <col min="15622" max="15623" width="2.42578125" style="231" customWidth="1"/>
    <col min="15624" max="15864" width="0" style="231" hidden="1"/>
    <col min="15865" max="15866" width="2.42578125" style="231" customWidth="1"/>
    <col min="15867" max="15871" width="9.28515625" style="231" customWidth="1"/>
    <col min="15872" max="15872" width="4.42578125" style="231" customWidth="1"/>
    <col min="15873" max="15876" width="9.28515625" style="231" customWidth="1"/>
    <col min="15877" max="15877" width="7.7109375" style="231" customWidth="1"/>
    <col min="15878" max="15879" width="2.42578125" style="231" customWidth="1"/>
    <col min="15880" max="16120" width="0" style="231" hidden="1"/>
    <col min="16121" max="16122" width="2.42578125" style="231" customWidth="1"/>
    <col min="16123" max="16127" width="9.28515625" style="231" customWidth="1"/>
    <col min="16128" max="16128" width="4.42578125" style="231" customWidth="1"/>
    <col min="16129" max="16132" width="9.28515625" style="231" customWidth="1"/>
    <col min="16133" max="16133" width="7.7109375" style="231" customWidth="1"/>
    <col min="16134" max="16135" width="2.42578125" style="231" customWidth="1"/>
    <col min="16136" max="16384" width="0" style="231" hidden="1"/>
  </cols>
  <sheetData>
    <row r="1" spans="1:227" ht="6" customHeight="1">
      <c r="A1" s="214"/>
      <c r="B1" s="214"/>
      <c r="C1" s="214"/>
      <c r="D1" s="214"/>
      <c r="E1" s="278"/>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c r="HQ1" s="214"/>
      <c r="HR1" s="214"/>
      <c r="HS1" s="214"/>
    </row>
    <row r="2" spans="1:227">
      <c r="A2" s="214"/>
      <c r="B2" s="214"/>
      <c r="C2" s="254" t="str">
        <f>CONTENTS!$B$2</f>
        <v>Petroleum and Gas Estimated Rehabilitation Cost Calculator</v>
      </c>
      <c r="D2" s="177"/>
      <c r="E2" s="214"/>
      <c r="F2" s="214"/>
      <c r="G2" s="214"/>
      <c r="H2" s="214"/>
      <c r="I2" s="177"/>
      <c r="J2" s="177"/>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row>
    <row r="3" spans="1:227" ht="6" customHeight="1">
      <c r="A3" s="214"/>
      <c r="B3" s="214"/>
      <c r="C3" s="177"/>
      <c r="D3" s="177"/>
      <c r="E3" s="279"/>
      <c r="F3" s="214"/>
      <c r="G3" s="214"/>
      <c r="H3" s="214"/>
      <c r="I3" s="177"/>
      <c r="J3" s="177"/>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c r="FL3" s="214"/>
      <c r="FM3" s="214"/>
      <c r="FN3" s="214"/>
      <c r="FO3" s="214"/>
      <c r="FP3" s="214"/>
      <c r="FQ3" s="214"/>
      <c r="FR3" s="214"/>
      <c r="FS3" s="214"/>
      <c r="FT3" s="214"/>
      <c r="FU3" s="214"/>
      <c r="FV3" s="214"/>
      <c r="FW3" s="214"/>
      <c r="FX3" s="214"/>
      <c r="FY3" s="214"/>
      <c r="FZ3" s="214"/>
      <c r="GA3" s="214"/>
      <c r="GB3" s="214"/>
      <c r="GC3" s="214"/>
      <c r="GD3" s="214"/>
      <c r="GE3" s="214"/>
      <c r="GF3" s="214"/>
      <c r="GG3" s="214"/>
      <c r="GH3" s="214"/>
      <c r="GI3" s="214"/>
      <c r="GJ3" s="214"/>
      <c r="GK3" s="214"/>
      <c r="GL3" s="214"/>
      <c r="GM3" s="214"/>
      <c r="GN3" s="214"/>
      <c r="GO3" s="214"/>
      <c r="GP3" s="214"/>
      <c r="GQ3" s="214"/>
      <c r="GR3" s="214"/>
      <c r="GS3" s="214"/>
      <c r="GT3" s="214"/>
      <c r="GU3" s="214"/>
      <c r="GV3" s="214"/>
      <c r="GW3" s="214"/>
      <c r="GX3" s="214"/>
      <c r="GY3" s="214"/>
      <c r="GZ3" s="214"/>
      <c r="HA3" s="214"/>
      <c r="HB3" s="214"/>
      <c r="HC3" s="214"/>
      <c r="HD3" s="214"/>
      <c r="HE3" s="214"/>
      <c r="HF3" s="214"/>
      <c r="HG3" s="214"/>
      <c r="HH3" s="214"/>
      <c r="HI3" s="214"/>
      <c r="HJ3" s="214"/>
      <c r="HK3" s="214"/>
      <c r="HL3" s="214"/>
      <c r="HM3" s="214"/>
      <c r="HN3" s="214"/>
      <c r="HO3" s="214"/>
      <c r="HP3" s="214"/>
      <c r="HQ3" s="214"/>
      <c r="HR3" s="214"/>
      <c r="HS3" s="214"/>
    </row>
    <row r="4" spans="1:227" ht="20.100000000000001" customHeight="1">
      <c r="A4" s="177"/>
      <c r="B4" s="177"/>
      <c r="C4" s="280"/>
      <c r="D4" s="281" t="s">
        <v>315</v>
      </c>
      <c r="E4" s="143" t="s">
        <v>305</v>
      </c>
      <c r="F4" s="282"/>
      <c r="G4" s="283" t="s">
        <v>422</v>
      </c>
      <c r="H4" s="144">
        <f>H29</f>
        <v>0</v>
      </c>
      <c r="I4" s="284"/>
      <c r="J4" s="177"/>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c r="HQ4" s="214"/>
      <c r="HR4" s="214"/>
      <c r="HS4" s="214"/>
    </row>
    <row r="5" spans="1:227" ht="8.25" customHeight="1">
      <c r="A5" s="177"/>
      <c r="B5" s="177"/>
      <c r="C5" s="232"/>
      <c r="D5" s="285"/>
      <c r="E5" s="214"/>
      <c r="F5" s="286"/>
      <c r="G5" s="285"/>
      <c r="H5" s="285"/>
      <c r="I5" s="287"/>
      <c r="J5" s="177"/>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c r="HQ5" s="214"/>
      <c r="HR5" s="214"/>
      <c r="HS5" s="214"/>
    </row>
    <row r="6" spans="1:227" customFormat="1" ht="16.350000000000001" customHeight="1">
      <c r="A6" s="163"/>
      <c r="B6" s="163"/>
      <c r="C6" s="169"/>
      <c r="D6" s="288" t="s">
        <v>182</v>
      </c>
      <c r="E6" s="288" t="s">
        <v>423</v>
      </c>
      <c r="F6" s="289" t="s">
        <v>1</v>
      </c>
      <c r="G6" s="289" t="s">
        <v>84</v>
      </c>
      <c r="H6" s="290" t="s">
        <v>83</v>
      </c>
      <c r="I6" s="172"/>
      <c r="J6" s="163"/>
    </row>
    <row r="7" spans="1:227" customFormat="1" ht="16.350000000000001" customHeight="1">
      <c r="A7" s="163"/>
      <c r="B7" s="163"/>
      <c r="C7" s="169"/>
      <c r="D7" s="291" t="str">
        <f>Main!C6</f>
        <v xml:space="preserve">1. Exploration </v>
      </c>
      <c r="E7" s="292"/>
      <c r="F7" s="292"/>
      <c r="G7" s="293"/>
      <c r="H7" s="294">
        <f>Main!L49</f>
        <v>0</v>
      </c>
      <c r="I7" s="172"/>
      <c r="J7" s="163"/>
    </row>
    <row r="8" spans="1:227" customFormat="1" ht="16.350000000000001" customHeight="1">
      <c r="A8" s="163"/>
      <c r="B8" s="163"/>
      <c r="C8" s="169"/>
      <c r="D8" s="291" t="str">
        <f>Main!C50</f>
        <v>2. Roads, Tracks, Laydown and Borrow Pits</v>
      </c>
      <c r="E8" s="292"/>
      <c r="F8" s="292"/>
      <c r="G8" s="293"/>
      <c r="H8" s="294">
        <f>Main!L86</f>
        <v>0</v>
      </c>
      <c r="I8" s="172"/>
      <c r="J8" s="163"/>
    </row>
    <row r="9" spans="1:227" customFormat="1" ht="16.350000000000001" customHeight="1">
      <c r="A9" s="163"/>
      <c r="B9" s="163"/>
      <c r="C9" s="169"/>
      <c r="D9" s="291" t="str">
        <f>Main!C87</f>
        <v>3. Camps,  Buildings, Sewage Treatment Plant</v>
      </c>
      <c r="E9" s="292"/>
      <c r="F9" s="292"/>
      <c r="G9" s="293"/>
      <c r="H9" s="294">
        <f>Main!L133</f>
        <v>0</v>
      </c>
      <c r="I9" s="172"/>
      <c r="J9" s="163"/>
    </row>
    <row r="10" spans="1:227" customFormat="1" ht="16.350000000000001" customHeight="1">
      <c r="A10" s="163"/>
      <c r="B10" s="163"/>
      <c r="C10" s="169"/>
      <c r="D10" s="291" t="str">
        <f>Main!C134</f>
        <v>4. Power Generation and Distribution</v>
      </c>
      <c r="E10" s="292"/>
      <c r="F10" s="292"/>
      <c r="G10" s="293"/>
      <c r="H10" s="294">
        <f>Main!L148</f>
        <v>0</v>
      </c>
      <c r="I10" s="172"/>
      <c r="J10" s="163"/>
      <c r="HS10" s="3"/>
    </row>
    <row r="11" spans="1:227" customFormat="1" ht="16.350000000000001" customHeight="1">
      <c r="A11" s="163"/>
      <c r="B11" s="163"/>
      <c r="C11" s="169"/>
      <c r="D11" s="291" t="str">
        <f>Main!C149</f>
        <v>5. Wells Pads and Associated Infrastructure</v>
      </c>
      <c r="E11" s="292"/>
      <c r="F11" s="292"/>
      <c r="G11" s="293"/>
      <c r="H11" s="294">
        <f>Main!L217</f>
        <v>0</v>
      </c>
      <c r="I11" s="172"/>
      <c r="J11" s="163"/>
      <c r="HS11" s="3"/>
    </row>
    <row r="12" spans="1:227" customFormat="1" ht="16.350000000000001" customHeight="1">
      <c r="A12" s="163"/>
      <c r="B12" s="163"/>
      <c r="C12" s="169"/>
      <c r="D12" s="291" t="str">
        <f>Main!C218</f>
        <v>6. Pipelines</v>
      </c>
      <c r="E12" s="292"/>
      <c r="F12" s="292"/>
      <c r="G12" s="293"/>
      <c r="H12" s="294">
        <f>Main!L358</f>
        <v>0</v>
      </c>
      <c r="I12" s="172"/>
      <c r="J12" s="163"/>
      <c r="HS12" s="3"/>
    </row>
    <row r="13" spans="1:227" customFormat="1" ht="16.350000000000001" customHeight="1">
      <c r="A13" s="163"/>
      <c r="B13" s="163"/>
      <c r="C13" s="169"/>
      <c r="D13" s="291" t="str">
        <f>Main!C359</f>
        <v>7. Gas Processing and Oil Storage Facilities</v>
      </c>
      <c r="E13" s="292"/>
      <c r="F13" s="292"/>
      <c r="G13" s="293"/>
      <c r="H13" s="294">
        <f>Main!L399</f>
        <v>0</v>
      </c>
      <c r="I13" s="172"/>
      <c r="J13" s="163"/>
    </row>
    <row r="14" spans="1:227" customFormat="1" ht="16.350000000000001" customHeight="1">
      <c r="A14" s="163"/>
      <c r="B14" s="163"/>
      <c r="C14" s="169"/>
      <c r="D14" s="291" t="str">
        <f>Main!C400</f>
        <v>8. LNG Plants</v>
      </c>
      <c r="E14" s="292"/>
      <c r="F14" s="292"/>
      <c r="G14" s="293"/>
      <c r="H14" s="294">
        <f>Main!L409</f>
        <v>0</v>
      </c>
      <c r="I14" s="172"/>
      <c r="J14" s="163"/>
    </row>
    <row r="15" spans="1:227" customFormat="1" ht="16.350000000000001" customHeight="1">
      <c r="A15" s="163"/>
      <c r="B15" s="163"/>
      <c r="C15" s="169"/>
      <c r="D15" s="291" t="str">
        <f>Main!C410</f>
        <v>9. Water Treatment Plants and Transfer Stations</v>
      </c>
      <c r="E15" s="292"/>
      <c r="F15" s="292"/>
      <c r="G15" s="293"/>
      <c r="H15" s="294">
        <f>Main!L435</f>
        <v>0</v>
      </c>
      <c r="I15" s="172"/>
      <c r="J15" s="163"/>
    </row>
    <row r="16" spans="1:227" customFormat="1" ht="16.350000000000001" customHeight="1">
      <c r="A16" s="163"/>
      <c r="B16" s="163"/>
      <c r="C16" s="169"/>
      <c r="D16" s="291" t="str">
        <f>Main!C436</f>
        <v>10. Water Storage Infrastructure (Dams / Ponds and Tanks)</v>
      </c>
      <c r="E16" s="292"/>
      <c r="F16" s="292"/>
      <c r="G16" s="293"/>
      <c r="H16" s="294">
        <f>Main!L639</f>
        <v>0</v>
      </c>
      <c r="I16" s="172"/>
      <c r="J16" s="163"/>
    </row>
    <row r="17" spans="1:10" customFormat="1" ht="16.350000000000001" customHeight="1">
      <c r="A17" s="163"/>
      <c r="B17" s="163"/>
      <c r="C17" s="169"/>
      <c r="D17" s="291" t="str">
        <f>Main!C640</f>
        <v>11. General Land Rehabilitation</v>
      </c>
      <c r="E17" s="295"/>
      <c r="F17" s="295"/>
      <c r="G17" s="296"/>
      <c r="H17" s="294">
        <f>Main!L692</f>
        <v>0</v>
      </c>
      <c r="I17" s="172"/>
      <c r="J17" s="163"/>
    </row>
    <row r="18" spans="1:10" customFormat="1" ht="16.350000000000001" customHeight="1">
      <c r="A18" s="163"/>
      <c r="B18" s="163"/>
      <c r="C18" s="169"/>
      <c r="D18" s="291" t="str">
        <f>Main!C693</f>
        <v>12. Investigation and Contamination</v>
      </c>
      <c r="E18" s="295"/>
      <c r="F18" s="295"/>
      <c r="G18" s="296"/>
      <c r="H18" s="294">
        <f>Main!L728</f>
        <v>0</v>
      </c>
      <c r="I18" s="172"/>
      <c r="J18" s="163"/>
    </row>
    <row r="19" spans="1:10" customFormat="1" ht="16.350000000000001" customHeight="1">
      <c r="A19" s="163"/>
      <c r="B19" s="163"/>
      <c r="C19" s="169"/>
      <c r="D19" s="291" t="str">
        <f>Main!C729</f>
        <v>13. Mobilisation and Demobilisation</v>
      </c>
      <c r="E19" s="295"/>
      <c r="F19" s="295"/>
      <c r="G19" s="296"/>
      <c r="H19" s="294">
        <f>Main!L742</f>
        <v>0</v>
      </c>
      <c r="I19" s="172"/>
      <c r="J19" s="163"/>
    </row>
    <row r="20" spans="1:10" customFormat="1" ht="16.350000000000001" customHeight="1">
      <c r="A20" s="163"/>
      <c r="B20" s="163"/>
      <c r="C20" s="169"/>
      <c r="D20" s="291" t="str">
        <f>Main!C743</f>
        <v>14. Additional Activities</v>
      </c>
      <c r="E20" s="295"/>
      <c r="F20" s="295"/>
      <c r="G20" s="296"/>
      <c r="H20" s="294">
        <f>Main!L754</f>
        <v>0</v>
      </c>
      <c r="I20" s="172"/>
      <c r="J20" s="163"/>
    </row>
    <row r="21" spans="1:10" customFormat="1" ht="16.350000000000001" customHeight="1">
      <c r="A21" s="163"/>
      <c r="B21" s="163"/>
      <c r="C21" s="169"/>
      <c r="D21" s="288" t="s">
        <v>424</v>
      </c>
      <c r="E21" s="288"/>
      <c r="F21" s="288"/>
      <c r="G21" s="297"/>
      <c r="H21" s="290">
        <f>SUM(H7:H20)</f>
        <v>0</v>
      </c>
      <c r="I21" s="172"/>
      <c r="J21" s="163"/>
    </row>
    <row r="22" spans="1:10" customFormat="1" ht="16.350000000000001" customHeight="1">
      <c r="A22" s="163"/>
      <c r="B22" s="163"/>
      <c r="C22" s="169"/>
      <c r="D22" s="174"/>
      <c r="E22" s="174"/>
      <c r="F22" s="174"/>
      <c r="G22" s="174"/>
      <c r="H22" s="298"/>
      <c r="I22" s="172"/>
      <c r="J22" s="163"/>
    </row>
    <row r="23" spans="1:10" customFormat="1" ht="16.350000000000001" customHeight="1">
      <c r="A23" s="163"/>
      <c r="B23" s="163"/>
      <c r="C23" s="169" t="s">
        <v>120</v>
      </c>
      <c r="D23" s="288" t="s">
        <v>425</v>
      </c>
      <c r="E23" s="288"/>
      <c r="F23" s="289" t="s">
        <v>426</v>
      </c>
      <c r="G23" s="289" t="s">
        <v>0</v>
      </c>
      <c r="H23" s="290" t="s">
        <v>83</v>
      </c>
      <c r="I23" s="172"/>
      <c r="J23" s="163"/>
    </row>
    <row r="24" spans="1:10" customFormat="1" ht="16.350000000000001" customHeight="1">
      <c r="A24" s="163"/>
      <c r="B24" s="163"/>
      <c r="C24" s="169"/>
      <c r="D24" s="291" t="s">
        <v>427</v>
      </c>
      <c r="E24" s="292"/>
      <c r="F24" s="16"/>
      <c r="G24" s="299">
        <v>0.1</v>
      </c>
      <c r="H24" s="300">
        <f>IF(F24="",G24,F24)*$H$21</f>
        <v>0</v>
      </c>
      <c r="I24" s="172"/>
      <c r="J24" s="163"/>
    </row>
    <row r="25" spans="1:10" customFormat="1" ht="16.350000000000001" customHeight="1">
      <c r="A25" s="163"/>
      <c r="B25" s="163"/>
      <c r="C25" s="169"/>
      <c r="D25" s="291" t="s">
        <v>428</v>
      </c>
      <c r="E25" s="292"/>
      <c r="F25" s="16"/>
      <c r="G25" s="299">
        <v>0.05</v>
      </c>
      <c r="H25" s="300">
        <f>IF(F25="",G25,F25)*$H$21</f>
        <v>0</v>
      </c>
      <c r="I25" s="172"/>
      <c r="J25" s="163"/>
    </row>
    <row r="26" spans="1:10" customFormat="1" ht="16.350000000000001" customHeight="1">
      <c r="A26" s="163"/>
      <c r="B26" s="163"/>
      <c r="C26" s="169"/>
      <c r="D26" s="291" t="s">
        <v>429</v>
      </c>
      <c r="E26" s="292"/>
      <c r="F26" s="301"/>
      <c r="G26" s="299">
        <v>0.1</v>
      </c>
      <c r="H26" s="300">
        <f>IF(F26="",G26,F26)*$H$21</f>
        <v>0</v>
      </c>
      <c r="I26" s="172"/>
      <c r="J26" s="163"/>
    </row>
    <row r="27" spans="1:10" customFormat="1" ht="16.350000000000001" customHeight="1">
      <c r="A27" s="163"/>
      <c r="B27" s="163"/>
      <c r="C27" s="169"/>
      <c r="D27" s="288" t="s">
        <v>430</v>
      </c>
      <c r="E27" s="288"/>
      <c r="F27" s="289"/>
      <c r="G27" s="289"/>
      <c r="H27" s="290">
        <f>SUM(H24:H26)</f>
        <v>0</v>
      </c>
      <c r="I27" s="172"/>
      <c r="J27" s="163"/>
    </row>
    <row r="28" spans="1:10" customFormat="1" ht="16.350000000000001" customHeight="1">
      <c r="A28" s="163"/>
      <c r="B28" s="163"/>
      <c r="C28" s="169"/>
      <c r="D28" s="174"/>
      <c r="G28" s="302"/>
      <c r="H28" s="303"/>
      <c r="I28" s="172"/>
      <c r="J28" s="163"/>
    </row>
    <row r="29" spans="1:10" customFormat="1" ht="16.350000000000001" customHeight="1">
      <c r="A29" s="163"/>
      <c r="B29" s="163"/>
      <c r="C29" s="169"/>
      <c r="D29" s="288" t="s">
        <v>431</v>
      </c>
      <c r="E29" s="288"/>
      <c r="F29" s="289"/>
      <c r="G29" s="289"/>
      <c r="H29" s="290">
        <f>H27+H21</f>
        <v>0</v>
      </c>
      <c r="I29" s="172"/>
      <c r="J29" s="163"/>
    </row>
    <row r="30" spans="1:10" customFormat="1" ht="16.350000000000001" customHeight="1">
      <c r="A30" s="163"/>
      <c r="B30" s="163"/>
      <c r="C30" s="169"/>
      <c r="D30" s="174"/>
      <c r="G30" s="302"/>
      <c r="H30" s="303"/>
      <c r="I30" s="172"/>
      <c r="J30" s="163"/>
    </row>
    <row r="31" spans="1:10" customFormat="1" ht="16.350000000000001" customHeight="1">
      <c r="A31" s="163"/>
      <c r="B31" s="163"/>
      <c r="C31" s="169"/>
      <c r="D31" s="304" t="s">
        <v>432</v>
      </c>
      <c r="E31" s="305"/>
      <c r="F31" s="305"/>
      <c r="G31" s="305"/>
      <c r="H31" s="306">
        <f>Summary!H29-Registration!F11</f>
        <v>0</v>
      </c>
      <c r="I31" s="172"/>
      <c r="J31" s="163"/>
    </row>
    <row r="32" spans="1:10" customFormat="1" ht="16.350000000000001" customHeight="1">
      <c r="A32" s="163"/>
      <c r="B32" s="163"/>
      <c r="C32" s="250"/>
      <c r="D32" s="251"/>
      <c r="E32" s="251"/>
      <c r="F32" s="251"/>
      <c r="G32" s="251"/>
      <c r="H32" s="251"/>
      <c r="I32" s="206"/>
      <c r="J32" s="163"/>
    </row>
    <row r="33" spans="1:10">
      <c r="A33" s="214"/>
      <c r="B33" s="214"/>
      <c r="C33" s="214"/>
      <c r="D33" s="214"/>
      <c r="E33" s="214"/>
      <c r="F33" s="214"/>
      <c r="G33" s="214"/>
      <c r="H33" s="214"/>
      <c r="I33" s="214"/>
      <c r="J33" s="214"/>
    </row>
    <row r="34" spans="1:10" customFormat="1">
      <c r="C34" s="214"/>
      <c r="D34" s="307" t="s">
        <v>433</v>
      </c>
      <c r="H34" s="308"/>
    </row>
    <row r="35" spans="1:10" customFormat="1" ht="63.75">
      <c r="C35" s="214"/>
      <c r="D35" s="142" t="s">
        <v>434</v>
      </c>
    </row>
    <row r="36" spans="1:10" customFormat="1">
      <c r="C36" s="214"/>
      <c r="D36" s="214"/>
      <c r="E36" s="214"/>
      <c r="F36" s="214"/>
    </row>
    <row r="37" spans="1:10" customFormat="1">
      <c r="C37" s="214"/>
      <c r="D37" s="307" t="s">
        <v>435</v>
      </c>
      <c r="H37" s="308"/>
    </row>
    <row r="38" spans="1:10" customFormat="1" ht="63.75">
      <c r="C38" s="214"/>
      <c r="D38" s="142" t="s">
        <v>436</v>
      </c>
      <c r="H38" s="308"/>
    </row>
    <row r="39" spans="1:10">
      <c r="A39" s="214"/>
      <c r="B39" s="214"/>
      <c r="C39" s="214"/>
      <c r="D39" s="214"/>
      <c r="E39"/>
      <c r="F39"/>
      <c r="G39"/>
      <c r="H39" s="308"/>
      <c r="I39" s="214"/>
      <c r="J39" s="214"/>
    </row>
    <row r="40" spans="1:10">
      <c r="A40" s="214"/>
      <c r="B40" s="214"/>
      <c r="C40" s="214"/>
      <c r="D40" s="214"/>
      <c r="E40"/>
      <c r="F40"/>
      <c r="G40"/>
      <c r="H40" s="308"/>
      <c r="I40" s="214"/>
      <c r="J40" s="214"/>
    </row>
    <row r="41" spans="1:10">
      <c r="A41" s="214"/>
      <c r="B41" s="214"/>
      <c r="C41" s="214"/>
      <c r="D41" s="214"/>
      <c r="E41"/>
      <c r="F41"/>
      <c r="G41"/>
      <c r="H41" s="308"/>
      <c r="I41" s="214"/>
      <c r="J41" s="214"/>
    </row>
    <row r="42" spans="1:10">
      <c r="A42" s="214"/>
      <c r="B42" s="214"/>
      <c r="C42" s="214"/>
      <c r="D42" s="214"/>
      <c r="E42" s="214"/>
      <c r="F42" s="214"/>
      <c r="G42" s="214"/>
      <c r="H42" s="214"/>
      <c r="I42" s="214"/>
      <c r="J42" s="214"/>
    </row>
    <row r="43" spans="1:10">
      <c r="A43" s="214"/>
      <c r="B43" s="214"/>
      <c r="C43" s="214"/>
      <c r="D43" s="214"/>
      <c r="E43" s="214"/>
      <c r="F43" s="214"/>
      <c r="G43" s="214"/>
      <c r="H43" s="214"/>
      <c r="I43" s="214"/>
      <c r="J43" s="214"/>
    </row>
    <row r="44" spans="1:10">
      <c r="A44" s="214"/>
      <c r="B44" s="214"/>
      <c r="C44" s="214"/>
      <c r="D44" s="214"/>
      <c r="E44" s="214"/>
      <c r="F44" s="214"/>
      <c r="G44" s="214"/>
      <c r="H44" s="214"/>
      <c r="I44" s="214"/>
      <c r="J44" s="214"/>
    </row>
    <row r="45" spans="1:10">
      <c r="A45" s="214"/>
      <c r="B45" s="214"/>
      <c r="C45" s="214"/>
      <c r="D45" s="214"/>
      <c r="E45" s="214"/>
      <c r="F45" s="214"/>
      <c r="G45" s="214"/>
      <c r="H45" s="214"/>
      <c r="I45" s="214"/>
      <c r="J45" s="214"/>
    </row>
    <row r="46" spans="1:10">
      <c r="A46" s="214"/>
      <c r="B46" s="214"/>
      <c r="C46" s="214"/>
      <c r="D46" s="214"/>
      <c r="E46" s="214"/>
      <c r="F46" s="214"/>
      <c r="G46" s="214"/>
      <c r="H46" s="214"/>
      <c r="I46" s="214"/>
      <c r="J46" s="214"/>
    </row>
    <row r="47" spans="1:10">
      <c r="A47" s="214"/>
      <c r="B47" s="214"/>
      <c r="C47" s="214"/>
      <c r="D47" s="214"/>
      <c r="E47" s="214"/>
      <c r="F47" s="214"/>
      <c r="G47" s="214"/>
      <c r="H47" s="214"/>
      <c r="I47" s="214"/>
      <c r="J47" s="214"/>
    </row>
    <row r="48" spans="1:10">
      <c r="A48" s="214"/>
      <c r="B48" s="214"/>
      <c r="C48" s="214"/>
      <c r="D48" s="214"/>
      <c r="E48" s="214"/>
      <c r="F48" s="214"/>
      <c r="G48" s="214"/>
      <c r="H48" s="214"/>
      <c r="I48" s="214"/>
      <c r="J48" s="214"/>
    </row>
    <row r="49"/>
    <row r="50"/>
    <row r="51"/>
    <row r="52"/>
    <row r="53"/>
    <row r="54"/>
    <row r="55"/>
    <row r="56"/>
    <row r="57"/>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sheetData>
  <sheetProtection algorithmName="SHA-512" hashValue="N9Iht9SY3XLe/jCT77UTIW6SuaZ/0+JYj8c3yrCMRm4tlI3PmNmMrV1HhkBlGA1lvBTH9H7DArBKHj7jcrRUWg==" saltValue="UysiEQgRS9c2bQaSOSb4CQ==" spinCount="100000" sheet="1" objects="1" scenarios="1" autoFilter="0"/>
  <conditionalFormatting sqref="F24:F25">
    <cfRule type="expression" dxfId="41" priority="1">
      <formula>F24&lt;&gt;""</formula>
    </cfRule>
  </conditionalFormatting>
  <dataValidations count="1">
    <dataValidation allowBlank="1" showInputMessage="1" showErrorMessage="1" prompt="If user entered, add justification below" sqref="F24:F25" xr:uid="{80E7DA8D-49F0-4CEF-BCCD-0B5933A90D32}"/>
  </dataValidations>
  <hyperlinks>
    <hyperlink ref="E4" location="CONTENTS" display="Contents" xr:uid="{32AF9ED4-11A9-48D2-AB92-77CBEE67BD81}"/>
  </hyperlinks>
  <pageMargins left="0.74803149606299213" right="0.74803149606299213" top="0.98425196850393704" bottom="0.98425196850393704" header="0.51181102362204722" footer="0.51181102362204722"/>
  <pageSetup paperSize="9" scale="5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BE089-F1CF-436F-A8B3-E14C8F9D474A}">
  <sheetPr codeName="Sheet29">
    <tabColor theme="5" tint="-0.249977111117893"/>
    <pageSetUpPr fitToPage="1"/>
  </sheetPr>
  <dimension ref="A1:Q756"/>
  <sheetViews>
    <sheetView showGridLines="0" zoomScaleNormal="100" zoomScaleSheetLayoutView="40" workbookViewId="0">
      <pane xSplit="10" ySplit="4" topLeftCell="K5" activePane="bottomRight" state="frozen"/>
      <selection pane="topRight" activeCell="K1" sqref="K1"/>
      <selection pane="bottomLeft" activeCell="A5" sqref="A5"/>
      <selection pane="bottomRight"/>
    </sheetView>
  </sheetViews>
  <sheetFormatPr defaultColWidth="2.28515625" defaultRowHeight="12.75"/>
  <cols>
    <col min="1" max="1" width="2.42578125" customWidth="1"/>
    <col min="2" max="2" width="7.28515625" customWidth="1"/>
    <col min="3" max="3" width="8.5703125" style="448" customWidth="1"/>
    <col min="4" max="4" width="5.7109375" style="448" customWidth="1"/>
    <col min="5" max="5" width="46.42578125" customWidth="1"/>
    <col min="6" max="6" width="15" style="315" customWidth="1"/>
    <col min="7" max="8" width="15" customWidth="1"/>
    <col min="9" max="9" width="7.7109375" customWidth="1"/>
    <col min="10" max="12" width="18.5703125" customWidth="1"/>
    <col min="13" max="13" width="25.42578125" customWidth="1"/>
    <col min="14" max="15" width="28.7109375" customWidth="1"/>
    <col min="16" max="16" width="40.7109375" style="317" customWidth="1"/>
    <col min="17" max="17" width="2.28515625" customWidth="1"/>
    <col min="130" max="131" width="2.42578125" customWidth="1"/>
    <col min="132" max="132" width="24.7109375" customWidth="1"/>
    <col min="133" max="133" width="33.7109375" customWidth="1"/>
    <col min="134" max="134" width="9.28515625" customWidth="1"/>
    <col min="135" max="136" width="7.7109375" customWidth="1"/>
    <col min="137" max="138" width="11.28515625" customWidth="1"/>
    <col min="139" max="139" width="15.7109375" customWidth="1"/>
    <col min="140" max="140" width="28.7109375" customWidth="1"/>
    <col min="141" max="141" width="40.7109375" customWidth="1"/>
    <col min="144" max="146" width="0" hidden="1" customWidth="1"/>
    <col min="386" max="387" width="2.42578125" customWidth="1"/>
    <col min="388" max="388" width="24.7109375" customWidth="1"/>
    <col min="389" max="389" width="33.7109375" customWidth="1"/>
    <col min="390" max="390" width="9.28515625" customWidth="1"/>
    <col min="391" max="392" width="7.7109375" customWidth="1"/>
    <col min="393" max="394" width="11.28515625" customWidth="1"/>
    <col min="395" max="395" width="15.7109375" customWidth="1"/>
    <col min="396" max="396" width="28.7109375" customWidth="1"/>
    <col min="397" max="397" width="40.7109375" customWidth="1"/>
    <col min="400" max="402" width="0" hidden="1" customWidth="1"/>
    <col min="642" max="643" width="2.42578125" customWidth="1"/>
    <col min="644" max="644" width="24.7109375" customWidth="1"/>
    <col min="645" max="645" width="33.7109375" customWidth="1"/>
    <col min="646" max="646" width="9.28515625" customWidth="1"/>
    <col min="647" max="648" width="7.7109375" customWidth="1"/>
    <col min="649" max="650" width="11.28515625" customWidth="1"/>
    <col min="651" max="651" width="15.7109375" customWidth="1"/>
    <col min="652" max="652" width="28.7109375" customWidth="1"/>
    <col min="653" max="653" width="40.7109375" customWidth="1"/>
    <col min="656" max="658" width="0" hidden="1" customWidth="1"/>
    <col min="898" max="899" width="2.42578125" customWidth="1"/>
    <col min="900" max="900" width="24.7109375" customWidth="1"/>
    <col min="901" max="901" width="33.7109375" customWidth="1"/>
    <col min="902" max="902" width="9.28515625" customWidth="1"/>
    <col min="903" max="904" width="7.7109375" customWidth="1"/>
    <col min="905" max="906" width="11.28515625" customWidth="1"/>
    <col min="907" max="907" width="15.7109375" customWidth="1"/>
    <col min="908" max="908" width="28.7109375" customWidth="1"/>
    <col min="909" max="909" width="40.7109375" customWidth="1"/>
    <col min="912" max="914" width="0" hidden="1" customWidth="1"/>
    <col min="1154" max="1155" width="2.42578125" customWidth="1"/>
    <col min="1156" max="1156" width="24.7109375" customWidth="1"/>
    <col min="1157" max="1157" width="33.7109375" customWidth="1"/>
    <col min="1158" max="1158" width="9.28515625" customWidth="1"/>
    <col min="1159" max="1160" width="7.7109375" customWidth="1"/>
    <col min="1161" max="1162" width="11.28515625" customWidth="1"/>
    <col min="1163" max="1163" width="15.7109375" customWidth="1"/>
    <col min="1164" max="1164" width="28.7109375" customWidth="1"/>
    <col min="1165" max="1165" width="40.7109375" customWidth="1"/>
    <col min="1168" max="1170" width="0" hidden="1" customWidth="1"/>
    <col min="1410" max="1411" width="2.42578125" customWidth="1"/>
    <col min="1412" max="1412" width="24.7109375" customWidth="1"/>
    <col min="1413" max="1413" width="33.7109375" customWidth="1"/>
    <col min="1414" max="1414" width="9.28515625" customWidth="1"/>
    <col min="1415" max="1416" width="7.7109375" customWidth="1"/>
    <col min="1417" max="1418" width="11.28515625" customWidth="1"/>
    <col min="1419" max="1419" width="15.7109375" customWidth="1"/>
    <col min="1420" max="1420" width="28.7109375" customWidth="1"/>
    <col min="1421" max="1421" width="40.7109375" customWidth="1"/>
    <col min="1424" max="1426" width="0" hidden="1" customWidth="1"/>
    <col min="1666" max="1667" width="2.42578125" customWidth="1"/>
    <col min="1668" max="1668" width="24.7109375" customWidth="1"/>
    <col min="1669" max="1669" width="33.7109375" customWidth="1"/>
    <col min="1670" max="1670" width="9.28515625" customWidth="1"/>
    <col min="1671" max="1672" width="7.7109375" customWidth="1"/>
    <col min="1673" max="1674" width="11.28515625" customWidth="1"/>
    <col min="1675" max="1675" width="15.7109375" customWidth="1"/>
    <col min="1676" max="1676" width="28.7109375" customWidth="1"/>
    <col min="1677" max="1677" width="40.7109375" customWidth="1"/>
    <col min="1680" max="1682" width="0" hidden="1" customWidth="1"/>
    <col min="1922" max="1923" width="2.42578125" customWidth="1"/>
    <col min="1924" max="1924" width="24.7109375" customWidth="1"/>
    <col min="1925" max="1925" width="33.7109375" customWidth="1"/>
    <col min="1926" max="1926" width="9.28515625" customWidth="1"/>
    <col min="1927" max="1928" width="7.7109375" customWidth="1"/>
    <col min="1929" max="1930" width="11.28515625" customWidth="1"/>
    <col min="1931" max="1931" width="15.7109375" customWidth="1"/>
    <col min="1932" max="1932" width="28.7109375" customWidth="1"/>
    <col min="1933" max="1933" width="40.7109375" customWidth="1"/>
    <col min="1936" max="1938" width="0" hidden="1" customWidth="1"/>
    <col min="2178" max="2179" width="2.42578125" customWidth="1"/>
    <col min="2180" max="2180" width="24.7109375" customWidth="1"/>
    <col min="2181" max="2181" width="33.7109375" customWidth="1"/>
    <col min="2182" max="2182" width="9.28515625" customWidth="1"/>
    <col min="2183" max="2184" width="7.7109375" customWidth="1"/>
    <col min="2185" max="2186" width="11.28515625" customWidth="1"/>
    <col min="2187" max="2187" width="15.7109375" customWidth="1"/>
    <col min="2188" max="2188" width="28.7109375" customWidth="1"/>
    <col min="2189" max="2189" width="40.7109375" customWidth="1"/>
    <col min="2192" max="2194" width="0" hidden="1" customWidth="1"/>
    <col min="2434" max="2435" width="2.42578125" customWidth="1"/>
    <col min="2436" max="2436" width="24.7109375" customWidth="1"/>
    <col min="2437" max="2437" width="33.7109375" customWidth="1"/>
    <col min="2438" max="2438" width="9.28515625" customWidth="1"/>
    <col min="2439" max="2440" width="7.7109375" customWidth="1"/>
    <col min="2441" max="2442" width="11.28515625" customWidth="1"/>
    <col min="2443" max="2443" width="15.7109375" customWidth="1"/>
    <col min="2444" max="2444" width="28.7109375" customWidth="1"/>
    <col min="2445" max="2445" width="40.7109375" customWidth="1"/>
    <col min="2448" max="2450" width="0" hidden="1" customWidth="1"/>
    <col min="2690" max="2691" width="2.42578125" customWidth="1"/>
    <col min="2692" max="2692" width="24.7109375" customWidth="1"/>
    <col min="2693" max="2693" width="33.7109375" customWidth="1"/>
    <col min="2694" max="2694" width="9.28515625" customWidth="1"/>
    <col min="2695" max="2696" width="7.7109375" customWidth="1"/>
    <col min="2697" max="2698" width="11.28515625" customWidth="1"/>
    <col min="2699" max="2699" width="15.7109375" customWidth="1"/>
    <col min="2700" max="2700" width="28.7109375" customWidth="1"/>
    <col min="2701" max="2701" width="40.7109375" customWidth="1"/>
    <col min="2704" max="2706" width="0" hidden="1" customWidth="1"/>
    <col min="2946" max="2947" width="2.42578125" customWidth="1"/>
    <col min="2948" max="2948" width="24.7109375" customWidth="1"/>
    <col min="2949" max="2949" width="33.7109375" customWidth="1"/>
    <col min="2950" max="2950" width="9.28515625" customWidth="1"/>
    <col min="2951" max="2952" width="7.7109375" customWidth="1"/>
    <col min="2953" max="2954" width="11.28515625" customWidth="1"/>
    <col min="2955" max="2955" width="15.7109375" customWidth="1"/>
    <col min="2956" max="2956" width="28.7109375" customWidth="1"/>
    <col min="2957" max="2957" width="40.7109375" customWidth="1"/>
    <col min="2960" max="2962" width="0" hidden="1" customWidth="1"/>
    <col min="3202" max="3203" width="2.42578125" customWidth="1"/>
    <col min="3204" max="3204" width="24.7109375" customWidth="1"/>
    <col min="3205" max="3205" width="33.7109375" customWidth="1"/>
    <col min="3206" max="3206" width="9.28515625" customWidth="1"/>
    <col min="3207" max="3208" width="7.7109375" customWidth="1"/>
    <col min="3209" max="3210" width="11.28515625" customWidth="1"/>
    <col min="3211" max="3211" width="15.7109375" customWidth="1"/>
    <col min="3212" max="3212" width="28.7109375" customWidth="1"/>
    <col min="3213" max="3213" width="40.7109375" customWidth="1"/>
    <col min="3216" max="3218" width="0" hidden="1" customWidth="1"/>
    <col min="3458" max="3459" width="2.42578125" customWidth="1"/>
    <col min="3460" max="3460" width="24.7109375" customWidth="1"/>
    <col min="3461" max="3461" width="33.7109375" customWidth="1"/>
    <col min="3462" max="3462" width="9.28515625" customWidth="1"/>
    <col min="3463" max="3464" width="7.7109375" customWidth="1"/>
    <col min="3465" max="3466" width="11.28515625" customWidth="1"/>
    <col min="3467" max="3467" width="15.7109375" customWidth="1"/>
    <col min="3468" max="3468" width="28.7109375" customWidth="1"/>
    <col min="3469" max="3469" width="40.7109375" customWidth="1"/>
    <col min="3472" max="3474" width="0" hidden="1" customWidth="1"/>
    <col min="3714" max="3715" width="2.42578125" customWidth="1"/>
    <col min="3716" max="3716" width="24.7109375" customWidth="1"/>
    <col min="3717" max="3717" width="33.7109375" customWidth="1"/>
    <col min="3718" max="3718" width="9.28515625" customWidth="1"/>
    <col min="3719" max="3720" width="7.7109375" customWidth="1"/>
    <col min="3721" max="3722" width="11.28515625" customWidth="1"/>
    <col min="3723" max="3723" width="15.7109375" customWidth="1"/>
    <col min="3724" max="3724" width="28.7109375" customWidth="1"/>
    <col min="3725" max="3725" width="40.7109375" customWidth="1"/>
    <col min="3728" max="3730" width="0" hidden="1" customWidth="1"/>
    <col min="3970" max="3971" width="2.42578125" customWidth="1"/>
    <col min="3972" max="3972" width="24.7109375" customWidth="1"/>
    <col min="3973" max="3973" width="33.7109375" customWidth="1"/>
    <col min="3974" max="3974" width="9.28515625" customWidth="1"/>
    <col min="3975" max="3976" width="7.7109375" customWidth="1"/>
    <col min="3977" max="3978" width="11.28515625" customWidth="1"/>
    <col min="3979" max="3979" width="15.7109375" customWidth="1"/>
    <col min="3980" max="3980" width="28.7109375" customWidth="1"/>
    <col min="3981" max="3981" width="40.7109375" customWidth="1"/>
    <col min="3984" max="3986" width="0" hidden="1" customWidth="1"/>
    <col min="4226" max="4227" width="2.42578125" customWidth="1"/>
    <col min="4228" max="4228" width="24.7109375" customWidth="1"/>
    <col min="4229" max="4229" width="33.7109375" customWidth="1"/>
    <col min="4230" max="4230" width="9.28515625" customWidth="1"/>
    <col min="4231" max="4232" width="7.7109375" customWidth="1"/>
    <col min="4233" max="4234" width="11.28515625" customWidth="1"/>
    <col min="4235" max="4235" width="15.7109375" customWidth="1"/>
    <col min="4236" max="4236" width="28.7109375" customWidth="1"/>
    <col min="4237" max="4237" width="40.7109375" customWidth="1"/>
    <col min="4240" max="4242" width="0" hidden="1" customWidth="1"/>
    <col min="4482" max="4483" width="2.42578125" customWidth="1"/>
    <col min="4484" max="4484" width="24.7109375" customWidth="1"/>
    <col min="4485" max="4485" width="33.7109375" customWidth="1"/>
    <col min="4486" max="4486" width="9.28515625" customWidth="1"/>
    <col min="4487" max="4488" width="7.7109375" customWidth="1"/>
    <col min="4489" max="4490" width="11.28515625" customWidth="1"/>
    <col min="4491" max="4491" width="15.7109375" customWidth="1"/>
    <col min="4492" max="4492" width="28.7109375" customWidth="1"/>
    <col min="4493" max="4493" width="40.7109375" customWidth="1"/>
    <col min="4496" max="4498" width="0" hidden="1" customWidth="1"/>
    <col min="4738" max="4739" width="2.42578125" customWidth="1"/>
    <col min="4740" max="4740" width="24.7109375" customWidth="1"/>
    <col min="4741" max="4741" width="33.7109375" customWidth="1"/>
    <col min="4742" max="4742" width="9.28515625" customWidth="1"/>
    <col min="4743" max="4744" width="7.7109375" customWidth="1"/>
    <col min="4745" max="4746" width="11.28515625" customWidth="1"/>
    <col min="4747" max="4747" width="15.7109375" customWidth="1"/>
    <col min="4748" max="4748" width="28.7109375" customWidth="1"/>
    <col min="4749" max="4749" width="40.7109375" customWidth="1"/>
    <col min="4752" max="4754" width="0" hidden="1" customWidth="1"/>
    <col min="4994" max="4995" width="2.42578125" customWidth="1"/>
    <col min="4996" max="4996" width="24.7109375" customWidth="1"/>
    <col min="4997" max="4997" width="33.7109375" customWidth="1"/>
    <col min="4998" max="4998" width="9.28515625" customWidth="1"/>
    <col min="4999" max="5000" width="7.7109375" customWidth="1"/>
    <col min="5001" max="5002" width="11.28515625" customWidth="1"/>
    <col min="5003" max="5003" width="15.7109375" customWidth="1"/>
    <col min="5004" max="5004" width="28.7109375" customWidth="1"/>
    <col min="5005" max="5005" width="40.7109375" customWidth="1"/>
    <col min="5008" max="5010" width="0" hidden="1" customWidth="1"/>
    <col min="5250" max="5251" width="2.42578125" customWidth="1"/>
    <col min="5252" max="5252" width="24.7109375" customWidth="1"/>
    <col min="5253" max="5253" width="33.7109375" customWidth="1"/>
    <col min="5254" max="5254" width="9.28515625" customWidth="1"/>
    <col min="5255" max="5256" width="7.7109375" customWidth="1"/>
    <col min="5257" max="5258" width="11.28515625" customWidth="1"/>
    <col min="5259" max="5259" width="15.7109375" customWidth="1"/>
    <col min="5260" max="5260" width="28.7109375" customWidth="1"/>
    <col min="5261" max="5261" width="40.7109375" customWidth="1"/>
    <col min="5264" max="5266" width="0" hidden="1" customWidth="1"/>
    <col min="5506" max="5507" width="2.42578125" customWidth="1"/>
    <col min="5508" max="5508" width="24.7109375" customWidth="1"/>
    <col min="5509" max="5509" width="33.7109375" customWidth="1"/>
    <col min="5510" max="5510" width="9.28515625" customWidth="1"/>
    <col min="5511" max="5512" width="7.7109375" customWidth="1"/>
    <col min="5513" max="5514" width="11.28515625" customWidth="1"/>
    <col min="5515" max="5515" width="15.7109375" customWidth="1"/>
    <col min="5516" max="5516" width="28.7109375" customWidth="1"/>
    <col min="5517" max="5517" width="40.7109375" customWidth="1"/>
    <col min="5520" max="5522" width="0" hidden="1" customWidth="1"/>
    <col min="5762" max="5763" width="2.42578125" customWidth="1"/>
    <col min="5764" max="5764" width="24.7109375" customWidth="1"/>
    <col min="5765" max="5765" width="33.7109375" customWidth="1"/>
    <col min="5766" max="5766" width="9.28515625" customWidth="1"/>
    <col min="5767" max="5768" width="7.7109375" customWidth="1"/>
    <col min="5769" max="5770" width="11.28515625" customWidth="1"/>
    <col min="5771" max="5771" width="15.7109375" customWidth="1"/>
    <col min="5772" max="5772" width="28.7109375" customWidth="1"/>
    <col min="5773" max="5773" width="40.7109375" customWidth="1"/>
    <col min="5776" max="5778" width="0" hidden="1" customWidth="1"/>
    <col min="6018" max="6019" width="2.42578125" customWidth="1"/>
    <col min="6020" max="6020" width="24.7109375" customWidth="1"/>
    <col min="6021" max="6021" width="33.7109375" customWidth="1"/>
    <col min="6022" max="6022" width="9.28515625" customWidth="1"/>
    <col min="6023" max="6024" width="7.7109375" customWidth="1"/>
    <col min="6025" max="6026" width="11.28515625" customWidth="1"/>
    <col min="6027" max="6027" width="15.7109375" customWidth="1"/>
    <col min="6028" max="6028" width="28.7109375" customWidth="1"/>
    <col min="6029" max="6029" width="40.7109375" customWidth="1"/>
    <col min="6032" max="6034" width="0" hidden="1" customWidth="1"/>
    <col min="6274" max="6275" width="2.42578125" customWidth="1"/>
    <col min="6276" max="6276" width="24.7109375" customWidth="1"/>
    <col min="6277" max="6277" width="33.7109375" customWidth="1"/>
    <col min="6278" max="6278" width="9.28515625" customWidth="1"/>
    <col min="6279" max="6280" width="7.7109375" customWidth="1"/>
    <col min="6281" max="6282" width="11.28515625" customWidth="1"/>
    <col min="6283" max="6283" width="15.7109375" customWidth="1"/>
    <col min="6284" max="6284" width="28.7109375" customWidth="1"/>
    <col min="6285" max="6285" width="40.7109375" customWidth="1"/>
    <col min="6288" max="6290" width="0" hidden="1" customWidth="1"/>
    <col min="6530" max="6531" width="2.42578125" customWidth="1"/>
    <col min="6532" max="6532" width="24.7109375" customWidth="1"/>
    <col min="6533" max="6533" width="33.7109375" customWidth="1"/>
    <col min="6534" max="6534" width="9.28515625" customWidth="1"/>
    <col min="6535" max="6536" width="7.7109375" customWidth="1"/>
    <col min="6537" max="6538" width="11.28515625" customWidth="1"/>
    <col min="6539" max="6539" width="15.7109375" customWidth="1"/>
    <col min="6540" max="6540" width="28.7109375" customWidth="1"/>
    <col min="6541" max="6541" width="40.7109375" customWidth="1"/>
    <col min="6544" max="6546" width="0" hidden="1" customWidth="1"/>
    <col min="6786" max="6787" width="2.42578125" customWidth="1"/>
    <col min="6788" max="6788" width="24.7109375" customWidth="1"/>
    <col min="6789" max="6789" width="33.7109375" customWidth="1"/>
    <col min="6790" max="6790" width="9.28515625" customWidth="1"/>
    <col min="6791" max="6792" width="7.7109375" customWidth="1"/>
    <col min="6793" max="6794" width="11.28515625" customWidth="1"/>
    <col min="6795" max="6795" width="15.7109375" customWidth="1"/>
    <col min="6796" max="6796" width="28.7109375" customWidth="1"/>
    <col min="6797" max="6797" width="40.7109375" customWidth="1"/>
    <col min="6800" max="6802" width="0" hidden="1" customWidth="1"/>
    <col min="7042" max="7043" width="2.42578125" customWidth="1"/>
    <col min="7044" max="7044" width="24.7109375" customWidth="1"/>
    <col min="7045" max="7045" width="33.7109375" customWidth="1"/>
    <col min="7046" max="7046" width="9.28515625" customWidth="1"/>
    <col min="7047" max="7048" width="7.7109375" customWidth="1"/>
    <col min="7049" max="7050" width="11.28515625" customWidth="1"/>
    <col min="7051" max="7051" width="15.7109375" customWidth="1"/>
    <col min="7052" max="7052" width="28.7109375" customWidth="1"/>
    <col min="7053" max="7053" width="40.7109375" customWidth="1"/>
    <col min="7056" max="7058" width="0" hidden="1" customWidth="1"/>
    <col min="7298" max="7299" width="2.42578125" customWidth="1"/>
    <col min="7300" max="7300" width="24.7109375" customWidth="1"/>
    <col min="7301" max="7301" width="33.7109375" customWidth="1"/>
    <col min="7302" max="7302" width="9.28515625" customWidth="1"/>
    <col min="7303" max="7304" width="7.7109375" customWidth="1"/>
    <col min="7305" max="7306" width="11.28515625" customWidth="1"/>
    <col min="7307" max="7307" width="15.7109375" customWidth="1"/>
    <col min="7308" max="7308" width="28.7109375" customWidth="1"/>
    <col min="7309" max="7309" width="40.7109375" customWidth="1"/>
    <col min="7312" max="7314" width="0" hidden="1" customWidth="1"/>
    <col min="7554" max="7555" width="2.42578125" customWidth="1"/>
    <col min="7556" max="7556" width="24.7109375" customWidth="1"/>
    <col min="7557" max="7557" width="33.7109375" customWidth="1"/>
    <col min="7558" max="7558" width="9.28515625" customWidth="1"/>
    <col min="7559" max="7560" width="7.7109375" customWidth="1"/>
    <col min="7561" max="7562" width="11.28515625" customWidth="1"/>
    <col min="7563" max="7563" width="15.7109375" customWidth="1"/>
    <col min="7564" max="7564" width="28.7109375" customWidth="1"/>
    <col min="7565" max="7565" width="40.7109375" customWidth="1"/>
    <col min="7568" max="7570" width="0" hidden="1" customWidth="1"/>
    <col min="7810" max="7811" width="2.42578125" customWidth="1"/>
    <col min="7812" max="7812" width="24.7109375" customWidth="1"/>
    <col min="7813" max="7813" width="33.7109375" customWidth="1"/>
    <col min="7814" max="7814" width="9.28515625" customWidth="1"/>
    <col min="7815" max="7816" width="7.7109375" customWidth="1"/>
    <col min="7817" max="7818" width="11.28515625" customWidth="1"/>
    <col min="7819" max="7819" width="15.7109375" customWidth="1"/>
    <col min="7820" max="7820" width="28.7109375" customWidth="1"/>
    <col min="7821" max="7821" width="40.7109375" customWidth="1"/>
    <col min="7824" max="7826" width="0" hidden="1" customWidth="1"/>
    <col min="8066" max="8067" width="2.42578125" customWidth="1"/>
    <col min="8068" max="8068" width="24.7109375" customWidth="1"/>
    <col min="8069" max="8069" width="33.7109375" customWidth="1"/>
    <col min="8070" max="8070" width="9.28515625" customWidth="1"/>
    <col min="8071" max="8072" width="7.7109375" customWidth="1"/>
    <col min="8073" max="8074" width="11.28515625" customWidth="1"/>
    <col min="8075" max="8075" width="15.7109375" customWidth="1"/>
    <col min="8076" max="8076" width="28.7109375" customWidth="1"/>
    <col min="8077" max="8077" width="40.7109375" customWidth="1"/>
    <col min="8080" max="8082" width="0" hidden="1" customWidth="1"/>
    <col min="8322" max="8323" width="2.42578125" customWidth="1"/>
    <col min="8324" max="8324" width="24.7109375" customWidth="1"/>
    <col min="8325" max="8325" width="33.7109375" customWidth="1"/>
    <col min="8326" max="8326" width="9.28515625" customWidth="1"/>
    <col min="8327" max="8328" width="7.7109375" customWidth="1"/>
    <col min="8329" max="8330" width="11.28515625" customWidth="1"/>
    <col min="8331" max="8331" width="15.7109375" customWidth="1"/>
    <col min="8332" max="8332" width="28.7109375" customWidth="1"/>
    <col min="8333" max="8333" width="40.7109375" customWidth="1"/>
    <col min="8336" max="8338" width="0" hidden="1" customWidth="1"/>
    <col min="8578" max="8579" width="2.42578125" customWidth="1"/>
    <col min="8580" max="8580" width="24.7109375" customWidth="1"/>
    <col min="8581" max="8581" width="33.7109375" customWidth="1"/>
    <col min="8582" max="8582" width="9.28515625" customWidth="1"/>
    <col min="8583" max="8584" width="7.7109375" customWidth="1"/>
    <col min="8585" max="8586" width="11.28515625" customWidth="1"/>
    <col min="8587" max="8587" width="15.7109375" customWidth="1"/>
    <col min="8588" max="8588" width="28.7109375" customWidth="1"/>
    <col min="8589" max="8589" width="40.7109375" customWidth="1"/>
    <col min="8592" max="8594" width="0" hidden="1" customWidth="1"/>
    <col min="8834" max="8835" width="2.42578125" customWidth="1"/>
    <col min="8836" max="8836" width="24.7109375" customWidth="1"/>
    <col min="8837" max="8837" width="33.7109375" customWidth="1"/>
    <col min="8838" max="8838" width="9.28515625" customWidth="1"/>
    <col min="8839" max="8840" width="7.7109375" customWidth="1"/>
    <col min="8841" max="8842" width="11.28515625" customWidth="1"/>
    <col min="8843" max="8843" width="15.7109375" customWidth="1"/>
    <col min="8844" max="8844" width="28.7109375" customWidth="1"/>
    <col min="8845" max="8845" width="40.7109375" customWidth="1"/>
    <col min="8848" max="8850" width="0" hidden="1" customWidth="1"/>
    <col min="9090" max="9091" width="2.42578125" customWidth="1"/>
    <col min="9092" max="9092" width="24.7109375" customWidth="1"/>
    <col min="9093" max="9093" width="33.7109375" customWidth="1"/>
    <col min="9094" max="9094" width="9.28515625" customWidth="1"/>
    <col min="9095" max="9096" width="7.7109375" customWidth="1"/>
    <col min="9097" max="9098" width="11.28515625" customWidth="1"/>
    <col min="9099" max="9099" width="15.7109375" customWidth="1"/>
    <col min="9100" max="9100" width="28.7109375" customWidth="1"/>
    <col min="9101" max="9101" width="40.7109375" customWidth="1"/>
    <col min="9104" max="9106" width="0" hidden="1" customWidth="1"/>
    <col min="9346" max="9347" width="2.42578125" customWidth="1"/>
    <col min="9348" max="9348" width="24.7109375" customWidth="1"/>
    <col min="9349" max="9349" width="33.7109375" customWidth="1"/>
    <col min="9350" max="9350" width="9.28515625" customWidth="1"/>
    <col min="9351" max="9352" width="7.7109375" customWidth="1"/>
    <col min="9353" max="9354" width="11.28515625" customWidth="1"/>
    <col min="9355" max="9355" width="15.7109375" customWidth="1"/>
    <col min="9356" max="9356" width="28.7109375" customWidth="1"/>
    <col min="9357" max="9357" width="40.7109375" customWidth="1"/>
    <col min="9360" max="9362" width="0" hidden="1" customWidth="1"/>
    <col min="9602" max="9603" width="2.42578125" customWidth="1"/>
    <col min="9604" max="9604" width="24.7109375" customWidth="1"/>
    <col min="9605" max="9605" width="33.7109375" customWidth="1"/>
    <col min="9606" max="9606" width="9.28515625" customWidth="1"/>
    <col min="9607" max="9608" width="7.7109375" customWidth="1"/>
    <col min="9609" max="9610" width="11.28515625" customWidth="1"/>
    <col min="9611" max="9611" width="15.7109375" customWidth="1"/>
    <col min="9612" max="9612" width="28.7109375" customWidth="1"/>
    <col min="9613" max="9613" width="40.7109375" customWidth="1"/>
    <col min="9616" max="9618" width="0" hidden="1" customWidth="1"/>
    <col min="9858" max="9859" width="2.42578125" customWidth="1"/>
    <col min="9860" max="9860" width="24.7109375" customWidth="1"/>
    <col min="9861" max="9861" width="33.7109375" customWidth="1"/>
    <col min="9862" max="9862" width="9.28515625" customWidth="1"/>
    <col min="9863" max="9864" width="7.7109375" customWidth="1"/>
    <col min="9865" max="9866" width="11.28515625" customWidth="1"/>
    <col min="9867" max="9867" width="15.7109375" customWidth="1"/>
    <col min="9868" max="9868" width="28.7109375" customWidth="1"/>
    <col min="9869" max="9869" width="40.7109375" customWidth="1"/>
    <col min="9872" max="9874" width="0" hidden="1" customWidth="1"/>
    <col min="10114" max="10115" width="2.42578125" customWidth="1"/>
    <col min="10116" max="10116" width="24.7109375" customWidth="1"/>
    <col min="10117" max="10117" width="33.7109375" customWidth="1"/>
    <col min="10118" max="10118" width="9.28515625" customWidth="1"/>
    <col min="10119" max="10120" width="7.7109375" customWidth="1"/>
    <col min="10121" max="10122" width="11.28515625" customWidth="1"/>
    <col min="10123" max="10123" width="15.7109375" customWidth="1"/>
    <col min="10124" max="10124" width="28.7109375" customWidth="1"/>
    <col min="10125" max="10125" width="40.7109375" customWidth="1"/>
    <col min="10128" max="10130" width="0" hidden="1" customWidth="1"/>
    <col min="10370" max="10371" width="2.42578125" customWidth="1"/>
    <col min="10372" max="10372" width="24.7109375" customWidth="1"/>
    <col min="10373" max="10373" width="33.7109375" customWidth="1"/>
    <col min="10374" max="10374" width="9.28515625" customWidth="1"/>
    <col min="10375" max="10376" width="7.7109375" customWidth="1"/>
    <col min="10377" max="10378" width="11.28515625" customWidth="1"/>
    <col min="10379" max="10379" width="15.7109375" customWidth="1"/>
    <col min="10380" max="10380" width="28.7109375" customWidth="1"/>
    <col min="10381" max="10381" width="40.7109375" customWidth="1"/>
    <col min="10384" max="10386" width="0" hidden="1" customWidth="1"/>
    <col min="10626" max="10627" width="2.42578125" customWidth="1"/>
    <col min="10628" max="10628" width="24.7109375" customWidth="1"/>
    <col min="10629" max="10629" width="33.7109375" customWidth="1"/>
    <col min="10630" max="10630" width="9.28515625" customWidth="1"/>
    <col min="10631" max="10632" width="7.7109375" customWidth="1"/>
    <col min="10633" max="10634" width="11.28515625" customWidth="1"/>
    <col min="10635" max="10635" width="15.7109375" customWidth="1"/>
    <col min="10636" max="10636" width="28.7109375" customWidth="1"/>
    <col min="10637" max="10637" width="40.7109375" customWidth="1"/>
    <col min="10640" max="10642" width="0" hidden="1" customWidth="1"/>
    <col min="10882" max="10883" width="2.42578125" customWidth="1"/>
    <col min="10884" max="10884" width="24.7109375" customWidth="1"/>
    <col min="10885" max="10885" width="33.7109375" customWidth="1"/>
    <col min="10886" max="10886" width="9.28515625" customWidth="1"/>
    <col min="10887" max="10888" width="7.7109375" customWidth="1"/>
    <col min="10889" max="10890" width="11.28515625" customWidth="1"/>
    <col min="10891" max="10891" width="15.7109375" customWidth="1"/>
    <col min="10892" max="10892" width="28.7109375" customWidth="1"/>
    <col min="10893" max="10893" width="40.7109375" customWidth="1"/>
    <col min="10896" max="10898" width="0" hidden="1" customWidth="1"/>
    <col min="11138" max="11139" width="2.42578125" customWidth="1"/>
    <col min="11140" max="11140" width="24.7109375" customWidth="1"/>
    <col min="11141" max="11141" width="33.7109375" customWidth="1"/>
    <col min="11142" max="11142" width="9.28515625" customWidth="1"/>
    <col min="11143" max="11144" width="7.7109375" customWidth="1"/>
    <col min="11145" max="11146" width="11.28515625" customWidth="1"/>
    <col min="11147" max="11147" width="15.7109375" customWidth="1"/>
    <col min="11148" max="11148" width="28.7109375" customWidth="1"/>
    <col min="11149" max="11149" width="40.7109375" customWidth="1"/>
    <col min="11152" max="11154" width="0" hidden="1" customWidth="1"/>
    <col min="11394" max="11395" width="2.42578125" customWidth="1"/>
    <col min="11396" max="11396" width="24.7109375" customWidth="1"/>
    <col min="11397" max="11397" width="33.7109375" customWidth="1"/>
    <col min="11398" max="11398" width="9.28515625" customWidth="1"/>
    <col min="11399" max="11400" width="7.7109375" customWidth="1"/>
    <col min="11401" max="11402" width="11.28515625" customWidth="1"/>
    <col min="11403" max="11403" width="15.7109375" customWidth="1"/>
    <col min="11404" max="11404" width="28.7109375" customWidth="1"/>
    <col min="11405" max="11405" width="40.7109375" customWidth="1"/>
    <col min="11408" max="11410" width="0" hidden="1" customWidth="1"/>
    <col min="11650" max="11651" width="2.42578125" customWidth="1"/>
    <col min="11652" max="11652" width="24.7109375" customWidth="1"/>
    <col min="11653" max="11653" width="33.7109375" customWidth="1"/>
    <col min="11654" max="11654" width="9.28515625" customWidth="1"/>
    <col min="11655" max="11656" width="7.7109375" customWidth="1"/>
    <col min="11657" max="11658" width="11.28515625" customWidth="1"/>
    <col min="11659" max="11659" width="15.7109375" customWidth="1"/>
    <col min="11660" max="11660" width="28.7109375" customWidth="1"/>
    <col min="11661" max="11661" width="40.7109375" customWidth="1"/>
    <col min="11664" max="11666" width="0" hidden="1" customWidth="1"/>
    <col min="11906" max="11907" width="2.42578125" customWidth="1"/>
    <col min="11908" max="11908" width="24.7109375" customWidth="1"/>
    <col min="11909" max="11909" width="33.7109375" customWidth="1"/>
    <col min="11910" max="11910" width="9.28515625" customWidth="1"/>
    <col min="11911" max="11912" width="7.7109375" customWidth="1"/>
    <col min="11913" max="11914" width="11.28515625" customWidth="1"/>
    <col min="11915" max="11915" width="15.7109375" customWidth="1"/>
    <col min="11916" max="11916" width="28.7109375" customWidth="1"/>
    <col min="11917" max="11917" width="40.7109375" customWidth="1"/>
    <col min="11920" max="11922" width="0" hidden="1" customWidth="1"/>
    <col min="12162" max="12163" width="2.42578125" customWidth="1"/>
    <col min="12164" max="12164" width="24.7109375" customWidth="1"/>
    <col min="12165" max="12165" width="33.7109375" customWidth="1"/>
    <col min="12166" max="12166" width="9.28515625" customWidth="1"/>
    <col min="12167" max="12168" width="7.7109375" customWidth="1"/>
    <col min="12169" max="12170" width="11.28515625" customWidth="1"/>
    <col min="12171" max="12171" width="15.7109375" customWidth="1"/>
    <col min="12172" max="12172" width="28.7109375" customWidth="1"/>
    <col min="12173" max="12173" width="40.7109375" customWidth="1"/>
    <col min="12176" max="12178" width="0" hidden="1" customWidth="1"/>
    <col min="12418" max="12419" width="2.42578125" customWidth="1"/>
    <col min="12420" max="12420" width="24.7109375" customWidth="1"/>
    <col min="12421" max="12421" width="33.7109375" customWidth="1"/>
    <col min="12422" max="12422" width="9.28515625" customWidth="1"/>
    <col min="12423" max="12424" width="7.7109375" customWidth="1"/>
    <col min="12425" max="12426" width="11.28515625" customWidth="1"/>
    <col min="12427" max="12427" width="15.7109375" customWidth="1"/>
    <col min="12428" max="12428" width="28.7109375" customWidth="1"/>
    <col min="12429" max="12429" width="40.7109375" customWidth="1"/>
    <col min="12432" max="12434" width="0" hidden="1" customWidth="1"/>
    <col min="12674" max="12675" width="2.42578125" customWidth="1"/>
    <col min="12676" max="12676" width="24.7109375" customWidth="1"/>
    <col min="12677" max="12677" width="33.7109375" customWidth="1"/>
    <col min="12678" max="12678" width="9.28515625" customWidth="1"/>
    <col min="12679" max="12680" width="7.7109375" customWidth="1"/>
    <col min="12681" max="12682" width="11.28515625" customWidth="1"/>
    <col min="12683" max="12683" width="15.7109375" customWidth="1"/>
    <col min="12684" max="12684" width="28.7109375" customWidth="1"/>
    <col min="12685" max="12685" width="40.7109375" customWidth="1"/>
    <col min="12688" max="12690" width="0" hidden="1" customWidth="1"/>
    <col min="12930" max="12931" width="2.42578125" customWidth="1"/>
    <col min="12932" max="12932" width="24.7109375" customWidth="1"/>
    <col min="12933" max="12933" width="33.7109375" customWidth="1"/>
    <col min="12934" max="12934" width="9.28515625" customWidth="1"/>
    <col min="12935" max="12936" width="7.7109375" customWidth="1"/>
    <col min="12937" max="12938" width="11.28515625" customWidth="1"/>
    <col min="12939" max="12939" width="15.7109375" customWidth="1"/>
    <col min="12940" max="12940" width="28.7109375" customWidth="1"/>
    <col min="12941" max="12941" width="40.7109375" customWidth="1"/>
    <col min="12944" max="12946" width="0" hidden="1" customWidth="1"/>
    <col min="13186" max="13187" width="2.42578125" customWidth="1"/>
    <col min="13188" max="13188" width="24.7109375" customWidth="1"/>
    <col min="13189" max="13189" width="33.7109375" customWidth="1"/>
    <col min="13190" max="13190" width="9.28515625" customWidth="1"/>
    <col min="13191" max="13192" width="7.7109375" customWidth="1"/>
    <col min="13193" max="13194" width="11.28515625" customWidth="1"/>
    <col min="13195" max="13195" width="15.7109375" customWidth="1"/>
    <col min="13196" max="13196" width="28.7109375" customWidth="1"/>
    <col min="13197" max="13197" width="40.7109375" customWidth="1"/>
    <col min="13200" max="13202" width="0" hidden="1" customWidth="1"/>
    <col min="13442" max="13443" width="2.42578125" customWidth="1"/>
    <col min="13444" max="13444" width="24.7109375" customWidth="1"/>
    <col min="13445" max="13445" width="33.7109375" customWidth="1"/>
    <col min="13446" max="13446" width="9.28515625" customWidth="1"/>
    <col min="13447" max="13448" width="7.7109375" customWidth="1"/>
    <col min="13449" max="13450" width="11.28515625" customWidth="1"/>
    <col min="13451" max="13451" width="15.7109375" customWidth="1"/>
    <col min="13452" max="13452" width="28.7109375" customWidth="1"/>
    <col min="13453" max="13453" width="40.7109375" customWidth="1"/>
    <col min="13456" max="13458" width="0" hidden="1" customWidth="1"/>
    <col min="13698" max="13699" width="2.42578125" customWidth="1"/>
    <col min="13700" max="13700" width="24.7109375" customWidth="1"/>
    <col min="13701" max="13701" width="33.7109375" customWidth="1"/>
    <col min="13702" max="13702" width="9.28515625" customWidth="1"/>
    <col min="13703" max="13704" width="7.7109375" customWidth="1"/>
    <col min="13705" max="13706" width="11.28515625" customWidth="1"/>
    <col min="13707" max="13707" width="15.7109375" customWidth="1"/>
    <col min="13708" max="13708" width="28.7109375" customWidth="1"/>
    <col min="13709" max="13709" width="40.7109375" customWidth="1"/>
    <col min="13712" max="13714" width="0" hidden="1" customWidth="1"/>
    <col min="13954" max="13955" width="2.42578125" customWidth="1"/>
    <col min="13956" max="13956" width="24.7109375" customWidth="1"/>
    <col min="13957" max="13957" width="33.7109375" customWidth="1"/>
    <col min="13958" max="13958" width="9.28515625" customWidth="1"/>
    <col min="13959" max="13960" width="7.7109375" customWidth="1"/>
    <col min="13961" max="13962" width="11.28515625" customWidth="1"/>
    <col min="13963" max="13963" width="15.7109375" customWidth="1"/>
    <col min="13964" max="13964" width="28.7109375" customWidth="1"/>
    <col min="13965" max="13965" width="40.7109375" customWidth="1"/>
    <col min="13968" max="13970" width="0" hidden="1" customWidth="1"/>
    <col min="14210" max="14211" width="2.42578125" customWidth="1"/>
    <col min="14212" max="14212" width="24.7109375" customWidth="1"/>
    <col min="14213" max="14213" width="33.7109375" customWidth="1"/>
    <col min="14214" max="14214" width="9.28515625" customWidth="1"/>
    <col min="14215" max="14216" width="7.7109375" customWidth="1"/>
    <col min="14217" max="14218" width="11.28515625" customWidth="1"/>
    <col min="14219" max="14219" width="15.7109375" customWidth="1"/>
    <col min="14220" max="14220" width="28.7109375" customWidth="1"/>
    <col min="14221" max="14221" width="40.7109375" customWidth="1"/>
    <col min="14224" max="14226" width="0" hidden="1" customWidth="1"/>
    <col min="14466" max="14467" width="2.42578125" customWidth="1"/>
    <col min="14468" max="14468" width="24.7109375" customWidth="1"/>
    <col min="14469" max="14469" width="33.7109375" customWidth="1"/>
    <col min="14470" max="14470" width="9.28515625" customWidth="1"/>
    <col min="14471" max="14472" width="7.7109375" customWidth="1"/>
    <col min="14473" max="14474" width="11.28515625" customWidth="1"/>
    <col min="14475" max="14475" width="15.7109375" customWidth="1"/>
    <col min="14476" max="14476" width="28.7109375" customWidth="1"/>
    <col min="14477" max="14477" width="40.7109375" customWidth="1"/>
    <col min="14480" max="14482" width="0" hidden="1" customWidth="1"/>
    <col min="14722" max="14723" width="2.42578125" customWidth="1"/>
    <col min="14724" max="14724" width="24.7109375" customWidth="1"/>
    <col min="14725" max="14725" width="33.7109375" customWidth="1"/>
    <col min="14726" max="14726" width="9.28515625" customWidth="1"/>
    <col min="14727" max="14728" width="7.7109375" customWidth="1"/>
    <col min="14729" max="14730" width="11.28515625" customWidth="1"/>
    <col min="14731" max="14731" width="15.7109375" customWidth="1"/>
    <col min="14732" max="14732" width="28.7109375" customWidth="1"/>
    <col min="14733" max="14733" width="40.7109375" customWidth="1"/>
    <col min="14736" max="14738" width="0" hidden="1" customWidth="1"/>
    <col min="14978" max="14979" width="2.42578125" customWidth="1"/>
    <col min="14980" max="14980" width="24.7109375" customWidth="1"/>
    <col min="14981" max="14981" width="33.7109375" customWidth="1"/>
    <col min="14982" max="14982" width="9.28515625" customWidth="1"/>
    <col min="14983" max="14984" width="7.7109375" customWidth="1"/>
    <col min="14985" max="14986" width="11.28515625" customWidth="1"/>
    <col min="14987" max="14987" width="15.7109375" customWidth="1"/>
    <col min="14988" max="14988" width="28.7109375" customWidth="1"/>
    <col min="14989" max="14989" width="40.7109375" customWidth="1"/>
    <col min="14992" max="14994" width="0" hidden="1" customWidth="1"/>
    <col min="15234" max="15235" width="2.42578125" customWidth="1"/>
    <col min="15236" max="15236" width="24.7109375" customWidth="1"/>
    <col min="15237" max="15237" width="33.7109375" customWidth="1"/>
    <col min="15238" max="15238" width="9.28515625" customWidth="1"/>
    <col min="15239" max="15240" width="7.7109375" customWidth="1"/>
    <col min="15241" max="15242" width="11.28515625" customWidth="1"/>
    <col min="15243" max="15243" width="15.7109375" customWidth="1"/>
    <col min="15244" max="15244" width="28.7109375" customWidth="1"/>
    <col min="15245" max="15245" width="40.7109375" customWidth="1"/>
    <col min="15248" max="15250" width="0" hidden="1" customWidth="1"/>
    <col min="15490" max="15491" width="2.42578125" customWidth="1"/>
    <col min="15492" max="15492" width="24.7109375" customWidth="1"/>
    <col min="15493" max="15493" width="33.7109375" customWidth="1"/>
    <col min="15494" max="15494" width="9.28515625" customWidth="1"/>
    <col min="15495" max="15496" width="7.7109375" customWidth="1"/>
    <col min="15497" max="15498" width="11.28515625" customWidth="1"/>
    <col min="15499" max="15499" width="15.7109375" customWidth="1"/>
    <col min="15500" max="15500" width="28.7109375" customWidth="1"/>
    <col min="15501" max="15501" width="40.7109375" customWidth="1"/>
    <col min="15504" max="15506" width="0" hidden="1" customWidth="1"/>
    <col min="15746" max="15747" width="2.42578125" customWidth="1"/>
    <col min="15748" max="15748" width="24.7109375" customWidth="1"/>
    <col min="15749" max="15749" width="33.7109375" customWidth="1"/>
    <col min="15750" max="15750" width="9.28515625" customWidth="1"/>
    <col min="15751" max="15752" width="7.7109375" customWidth="1"/>
    <col min="15753" max="15754" width="11.28515625" customWidth="1"/>
    <col min="15755" max="15755" width="15.7109375" customWidth="1"/>
    <col min="15756" max="15756" width="28.7109375" customWidth="1"/>
    <col min="15757" max="15757" width="40.7109375" customWidth="1"/>
    <col min="15760" max="15762" width="0" hidden="1" customWidth="1"/>
    <col min="16002" max="16003" width="2.42578125" customWidth="1"/>
    <col min="16004" max="16004" width="24.7109375" customWidth="1"/>
    <col min="16005" max="16005" width="33.7109375" customWidth="1"/>
    <col min="16006" max="16006" width="9.28515625" customWidth="1"/>
    <col min="16007" max="16008" width="7.7109375" customWidth="1"/>
    <col min="16009" max="16010" width="11.28515625" customWidth="1"/>
    <col min="16011" max="16011" width="15.7109375" customWidth="1"/>
    <col min="16012" max="16012" width="28.7109375" customWidth="1"/>
    <col min="16013" max="16013" width="40.7109375" customWidth="1"/>
    <col min="16016" max="16018" width="0" hidden="1" customWidth="1"/>
  </cols>
  <sheetData>
    <row r="1" spans="1:17" ht="18.600000000000001" customHeight="1">
      <c r="B1" s="458" t="s">
        <v>437</v>
      </c>
      <c r="C1" s="225" t="str">
        <f>CONTENTS!$B$2</f>
        <v>Petroleum and Gas Estimated Rehabilitation Cost Calculator</v>
      </c>
      <c r="D1" s="177"/>
      <c r="F1" s="309"/>
      <c r="G1" s="177"/>
      <c r="H1" s="177"/>
      <c r="J1" s="177"/>
      <c r="K1" s="177"/>
      <c r="L1" s="177"/>
      <c r="M1" s="177"/>
      <c r="N1" s="177"/>
      <c r="O1" s="310"/>
      <c r="P1" s="311"/>
    </row>
    <row r="2" spans="1:17" ht="22.35" customHeight="1">
      <c r="B2" s="312"/>
      <c r="C2" s="20" t="s">
        <v>305</v>
      </c>
      <c r="D2" s="313" t="s">
        <v>316</v>
      </c>
      <c r="E2" s="314"/>
      <c r="G2" s="315"/>
      <c r="H2" s="177"/>
      <c r="J2" s="315"/>
      <c r="K2" s="316" t="s">
        <v>438</v>
      </c>
      <c r="L2" s="113">
        <f>ERC</f>
        <v>0</v>
      </c>
      <c r="M2" s="177"/>
    </row>
    <row r="3" spans="1:17" ht="8.85" customHeight="1">
      <c r="A3" s="318"/>
      <c r="B3" s="319">
        <v>1</v>
      </c>
      <c r="C3" s="320"/>
      <c r="D3" s="320"/>
      <c r="E3" s="320"/>
      <c r="F3" s="321"/>
      <c r="G3" s="320"/>
      <c r="H3" s="321"/>
      <c r="I3" s="321"/>
      <c r="J3" s="322"/>
      <c r="K3" s="322"/>
      <c r="L3" s="322"/>
      <c r="M3" s="322"/>
      <c r="N3" s="323"/>
      <c r="O3" s="324"/>
      <c r="P3" s="325"/>
      <c r="Q3" s="318"/>
    </row>
    <row r="4" spans="1:17">
      <c r="A4" s="326"/>
      <c r="B4" s="319">
        <v>1</v>
      </c>
      <c r="C4" s="327" t="s">
        <v>439</v>
      </c>
      <c r="D4" s="328" t="s">
        <v>80</v>
      </c>
      <c r="E4" s="329" t="s">
        <v>440</v>
      </c>
      <c r="F4" s="329" t="s">
        <v>441</v>
      </c>
      <c r="G4" s="329" t="s">
        <v>442</v>
      </c>
      <c r="H4" s="329" t="s">
        <v>423</v>
      </c>
      <c r="I4" s="329" t="s">
        <v>1</v>
      </c>
      <c r="J4" s="328" t="s">
        <v>443</v>
      </c>
      <c r="K4" s="328" t="s">
        <v>444</v>
      </c>
      <c r="L4" s="328" t="s">
        <v>83</v>
      </c>
      <c r="M4" s="328" t="s">
        <v>445</v>
      </c>
      <c r="N4" s="329" t="s">
        <v>446</v>
      </c>
      <c r="O4" s="328" t="s">
        <v>447</v>
      </c>
      <c r="P4" s="330" t="s">
        <v>448</v>
      </c>
      <c r="Q4" s="326"/>
    </row>
    <row r="5" spans="1:17" s="336" customFormat="1" ht="15">
      <c r="A5" s="240"/>
      <c r="B5" s="319">
        <v>1</v>
      </c>
      <c r="C5" s="331"/>
      <c r="D5" s="332"/>
      <c r="E5" s="333"/>
      <c r="F5" s="333"/>
      <c r="G5" s="333"/>
      <c r="H5" s="333"/>
      <c r="I5" s="333"/>
      <c r="J5" s="333"/>
      <c r="K5" s="334"/>
      <c r="L5" s="335"/>
      <c r="N5" s="337"/>
      <c r="O5" s="338"/>
      <c r="P5" s="338"/>
      <c r="Q5" s="339"/>
    </row>
    <row r="6" spans="1:17" s="336" customFormat="1" ht="15">
      <c r="A6" s="240"/>
      <c r="B6" s="319">
        <v>1</v>
      </c>
      <c r="C6" s="340" t="s">
        <v>449</v>
      </c>
      <c r="D6" s="341"/>
      <c r="E6" s="342"/>
      <c r="F6" s="343"/>
      <c r="G6" s="342"/>
      <c r="H6" s="342"/>
      <c r="I6" s="342"/>
      <c r="J6" s="342"/>
      <c r="K6" s="344"/>
      <c r="L6" s="345"/>
      <c r="M6" s="346"/>
      <c r="N6" s="347"/>
      <c r="O6" s="348"/>
      <c r="P6" s="349"/>
      <c r="Q6" s="339"/>
    </row>
    <row r="7" spans="1:17" s="336" customFormat="1" ht="56.25">
      <c r="A7" s="240"/>
      <c r="B7" s="319">
        <f>IF(L7&gt;0,1,0)</f>
        <v>0</v>
      </c>
      <c r="C7" s="158"/>
      <c r="D7" s="350"/>
      <c r="E7" s="351" t="s">
        <v>450</v>
      </c>
      <c r="F7" s="350"/>
      <c r="G7" s="352"/>
      <c r="H7" s="353"/>
      <c r="I7" s="354" t="s">
        <v>159</v>
      </c>
      <c r="J7" s="355"/>
      <c r="K7" s="355"/>
      <c r="L7" s="356">
        <f>'Seismic and Infrastructure'!D3</f>
        <v>0</v>
      </c>
      <c r="M7" s="452"/>
      <c r="N7" s="83"/>
      <c r="O7" s="354" t="s">
        <v>451</v>
      </c>
      <c r="P7" s="354" t="s">
        <v>452</v>
      </c>
      <c r="Q7" s="339"/>
    </row>
    <row r="8" spans="1:17" s="336" customFormat="1" ht="67.5">
      <c r="A8" s="240"/>
      <c r="B8" s="319">
        <f t="shared" ref="B8:B48" si="0">IF(L8&gt;0,1,0)</f>
        <v>0</v>
      </c>
      <c r="C8" s="158"/>
      <c r="D8" s="357" t="s">
        <v>453</v>
      </c>
      <c r="E8" s="358" t="s">
        <v>454</v>
      </c>
      <c r="F8" s="359"/>
      <c r="G8" s="353"/>
      <c r="H8" s="18"/>
      <c r="I8" s="360" t="s">
        <v>82</v>
      </c>
      <c r="J8" s="361">
        <v>1006.181121055433</v>
      </c>
      <c r="K8" s="101"/>
      <c r="L8" s="356">
        <f t="shared" ref="L8:L31" si="1">IF(K8="",J8,K8)*H8</f>
        <v>0</v>
      </c>
      <c r="M8" s="453"/>
      <c r="N8" s="68"/>
      <c r="O8" s="362" t="s">
        <v>455</v>
      </c>
      <c r="P8" s="362" t="s">
        <v>452</v>
      </c>
      <c r="Q8" s="363"/>
    </row>
    <row r="9" spans="1:17" s="336" customFormat="1" ht="56.25">
      <c r="A9" s="240"/>
      <c r="B9" s="319">
        <f t="shared" si="0"/>
        <v>0</v>
      </c>
      <c r="C9" s="158"/>
      <c r="D9" s="357" t="s">
        <v>456</v>
      </c>
      <c r="E9" s="358" t="s">
        <v>457</v>
      </c>
      <c r="F9" s="359"/>
      <c r="G9" s="353"/>
      <c r="H9" s="18"/>
      <c r="I9" s="360" t="s">
        <v>82</v>
      </c>
      <c r="J9" s="361">
        <v>1895.531121055433</v>
      </c>
      <c r="K9" s="101"/>
      <c r="L9" s="356">
        <f t="shared" si="1"/>
        <v>0</v>
      </c>
      <c r="M9" s="453"/>
      <c r="N9" s="68"/>
      <c r="O9" s="362" t="s">
        <v>458</v>
      </c>
      <c r="P9" s="362" t="s">
        <v>459</v>
      </c>
      <c r="Q9" s="363"/>
    </row>
    <row r="10" spans="1:17" s="336" customFormat="1" ht="67.5">
      <c r="A10" s="240"/>
      <c r="B10" s="319">
        <f t="shared" si="0"/>
        <v>0</v>
      </c>
      <c r="C10" s="158"/>
      <c r="D10" s="357" t="s">
        <v>460</v>
      </c>
      <c r="E10" s="358" t="s">
        <v>461</v>
      </c>
      <c r="F10" s="359"/>
      <c r="G10" s="353"/>
      <c r="H10" s="18"/>
      <c r="I10" s="360" t="s">
        <v>82</v>
      </c>
      <c r="J10" s="361">
        <v>426.75612105543297</v>
      </c>
      <c r="K10" s="101"/>
      <c r="L10" s="356">
        <f t="shared" si="1"/>
        <v>0</v>
      </c>
      <c r="M10" s="453"/>
      <c r="N10" s="68"/>
      <c r="O10" s="362" t="s">
        <v>462</v>
      </c>
      <c r="P10" s="362" t="s">
        <v>463</v>
      </c>
      <c r="Q10" s="363"/>
    </row>
    <row r="11" spans="1:17" s="336" customFormat="1" ht="67.5">
      <c r="A11" s="240"/>
      <c r="B11" s="319">
        <f t="shared" si="0"/>
        <v>0</v>
      </c>
      <c r="C11" s="158"/>
      <c r="D11" s="357" t="s">
        <v>464</v>
      </c>
      <c r="E11" s="358" t="s">
        <v>454</v>
      </c>
      <c r="F11" s="359"/>
      <c r="G11" s="353"/>
      <c r="H11" s="18"/>
      <c r="I11" s="360" t="s">
        <v>119</v>
      </c>
      <c r="J11" s="361">
        <v>2874.8032030155227</v>
      </c>
      <c r="K11" s="101"/>
      <c r="L11" s="356">
        <f t="shared" si="1"/>
        <v>0</v>
      </c>
      <c r="M11" s="453"/>
      <c r="N11" s="68"/>
      <c r="O11" s="362" t="s">
        <v>465</v>
      </c>
      <c r="P11" s="362" t="s">
        <v>452</v>
      </c>
      <c r="Q11" s="363"/>
    </row>
    <row r="12" spans="1:17" s="336" customFormat="1" ht="56.25">
      <c r="A12" s="240"/>
      <c r="B12" s="319">
        <f t="shared" si="0"/>
        <v>0</v>
      </c>
      <c r="C12" s="158"/>
      <c r="D12" s="357" t="s">
        <v>466</v>
      </c>
      <c r="E12" s="358" t="s">
        <v>457</v>
      </c>
      <c r="F12" s="359"/>
      <c r="G12" s="353"/>
      <c r="H12" s="18"/>
      <c r="I12" s="360" t="s">
        <v>119</v>
      </c>
      <c r="J12" s="361">
        <v>5415.8032030155227</v>
      </c>
      <c r="K12" s="101"/>
      <c r="L12" s="356">
        <f t="shared" si="1"/>
        <v>0</v>
      </c>
      <c r="M12" s="453"/>
      <c r="N12" s="68"/>
      <c r="O12" s="362" t="s">
        <v>467</v>
      </c>
      <c r="P12" s="362" t="s">
        <v>459</v>
      </c>
      <c r="Q12" s="363"/>
    </row>
    <row r="13" spans="1:17" s="336" customFormat="1" ht="67.5">
      <c r="A13" s="240"/>
      <c r="B13" s="319">
        <f t="shared" si="0"/>
        <v>0</v>
      </c>
      <c r="C13" s="158"/>
      <c r="D13" s="357" t="s">
        <v>468</v>
      </c>
      <c r="E13" s="358" t="s">
        <v>461</v>
      </c>
      <c r="F13" s="359"/>
      <c r="G13" s="353"/>
      <c r="H13" s="18"/>
      <c r="I13" s="360" t="s">
        <v>119</v>
      </c>
      <c r="J13" s="361">
        <v>1219.3032030155227</v>
      </c>
      <c r="K13" s="101"/>
      <c r="L13" s="356">
        <f t="shared" si="1"/>
        <v>0</v>
      </c>
      <c r="M13" s="453"/>
      <c r="N13" s="68"/>
      <c r="O13" s="362" t="s">
        <v>469</v>
      </c>
      <c r="P13" s="362" t="s">
        <v>463</v>
      </c>
      <c r="Q13" s="363"/>
    </row>
    <row r="14" spans="1:17" s="336" customFormat="1" ht="45">
      <c r="A14" s="240"/>
      <c r="B14" s="319">
        <f t="shared" si="0"/>
        <v>0</v>
      </c>
      <c r="C14" s="158"/>
      <c r="D14" s="357" t="s">
        <v>470</v>
      </c>
      <c r="E14" s="358" t="str">
        <f>Lists!C184</f>
        <v>Track, Earthen, No replace, 3 m wide, Pasture</v>
      </c>
      <c r="F14" s="359"/>
      <c r="G14" s="353"/>
      <c r="H14" s="18"/>
      <c r="I14" s="360" t="s">
        <v>82</v>
      </c>
      <c r="J14" s="361">
        <v>616.69783722653074</v>
      </c>
      <c r="K14" s="101"/>
      <c r="L14" s="356">
        <f t="shared" si="1"/>
        <v>0</v>
      </c>
      <c r="M14" s="453"/>
      <c r="N14" s="68"/>
      <c r="O14" s="362" t="s">
        <v>471</v>
      </c>
      <c r="P14" s="362" t="s">
        <v>472</v>
      </c>
      <c r="Q14" s="363"/>
    </row>
    <row r="15" spans="1:17" s="336" customFormat="1" ht="45">
      <c r="A15" s="240"/>
      <c r="B15" s="319">
        <f t="shared" si="0"/>
        <v>0</v>
      </c>
      <c r="C15" s="158"/>
      <c r="D15" s="357" t="s">
        <v>473</v>
      </c>
      <c r="E15" s="358" t="str">
        <f>Lists!C185</f>
        <v>Track, Earthen, No replace, 3 m wide, Native</v>
      </c>
      <c r="F15" s="359"/>
      <c r="G15" s="353"/>
      <c r="H15" s="18"/>
      <c r="I15" s="360" t="s">
        <v>82</v>
      </c>
      <c r="J15" s="361">
        <v>1378.9978372265309</v>
      </c>
      <c r="K15" s="101"/>
      <c r="L15" s="356">
        <f t="shared" si="1"/>
        <v>0</v>
      </c>
      <c r="M15" s="453"/>
      <c r="N15" s="68"/>
      <c r="O15" s="362" t="s">
        <v>474</v>
      </c>
      <c r="P15" s="362" t="s">
        <v>475</v>
      </c>
      <c r="Q15" s="363"/>
    </row>
    <row r="16" spans="1:17" s="336" customFormat="1" ht="33.75">
      <c r="A16" s="240"/>
      <c r="B16" s="319">
        <f t="shared" si="0"/>
        <v>0</v>
      </c>
      <c r="C16" s="158"/>
      <c r="D16" s="357" t="s">
        <v>476</v>
      </c>
      <c r="E16" s="358" t="str">
        <f>Lists!C186</f>
        <v>Track, Earthen, No replace, 3 m wide, Arid</v>
      </c>
      <c r="F16" s="359"/>
      <c r="G16" s="353"/>
      <c r="H16" s="18"/>
      <c r="I16" s="360" t="s">
        <v>82</v>
      </c>
      <c r="J16" s="361">
        <v>120.04783722653082</v>
      </c>
      <c r="K16" s="101"/>
      <c r="L16" s="356">
        <f t="shared" si="1"/>
        <v>0</v>
      </c>
      <c r="M16" s="453"/>
      <c r="N16" s="68"/>
      <c r="O16" s="362" t="s">
        <v>477</v>
      </c>
      <c r="P16" s="362" t="s">
        <v>478</v>
      </c>
      <c r="Q16" s="363"/>
    </row>
    <row r="17" spans="1:17" s="336" customFormat="1" ht="45">
      <c r="A17" s="240"/>
      <c r="B17" s="319">
        <f t="shared" si="0"/>
        <v>0</v>
      </c>
      <c r="C17" s="158"/>
      <c r="D17" s="357" t="s">
        <v>479</v>
      </c>
      <c r="E17" s="358" t="str">
        <f>Lists!C187</f>
        <v>Track, Earthen, No replace, 6 m wide, Pasture</v>
      </c>
      <c r="F17" s="359"/>
      <c r="G17" s="353"/>
      <c r="H17" s="18"/>
      <c r="I17" s="360" t="s">
        <v>82</v>
      </c>
      <c r="J17" s="361">
        <v>1233.3956744530615</v>
      </c>
      <c r="K17" s="101"/>
      <c r="L17" s="356">
        <f t="shared" si="1"/>
        <v>0</v>
      </c>
      <c r="M17" s="453"/>
      <c r="N17" s="68"/>
      <c r="O17" s="362" t="s">
        <v>471</v>
      </c>
      <c r="P17" s="362" t="s">
        <v>472</v>
      </c>
      <c r="Q17" s="363"/>
    </row>
    <row r="18" spans="1:17" s="336" customFormat="1" ht="45">
      <c r="A18" s="240"/>
      <c r="B18" s="319">
        <f t="shared" si="0"/>
        <v>0</v>
      </c>
      <c r="C18" s="158"/>
      <c r="D18" s="357" t="s">
        <v>480</v>
      </c>
      <c r="E18" s="358" t="str">
        <f>Lists!C188</f>
        <v>Track, Earthen, No replace, 6 m wide, Native</v>
      </c>
      <c r="F18" s="359"/>
      <c r="G18" s="353"/>
      <c r="H18" s="18"/>
      <c r="I18" s="360" t="s">
        <v>82</v>
      </c>
      <c r="J18" s="361">
        <v>2757.9956744530618</v>
      </c>
      <c r="K18" s="101"/>
      <c r="L18" s="356">
        <f t="shared" si="1"/>
        <v>0</v>
      </c>
      <c r="M18" s="453"/>
      <c r="N18" s="68"/>
      <c r="O18" s="362" t="s">
        <v>474</v>
      </c>
      <c r="P18" s="362" t="s">
        <v>472</v>
      </c>
      <c r="Q18" s="363"/>
    </row>
    <row r="19" spans="1:17" s="336" customFormat="1" ht="45">
      <c r="A19" s="240"/>
      <c r="B19" s="319">
        <f t="shared" si="0"/>
        <v>0</v>
      </c>
      <c r="C19" s="158"/>
      <c r="D19" s="357" t="s">
        <v>481</v>
      </c>
      <c r="E19" s="358" t="str">
        <f>Lists!C189</f>
        <v>Track, Earthen, No replace, 6 m wide, Arid</v>
      </c>
      <c r="F19" s="359"/>
      <c r="G19" s="353"/>
      <c r="H19" s="18"/>
      <c r="I19" s="360" t="s">
        <v>82</v>
      </c>
      <c r="J19" s="361">
        <v>240.09567445306163</v>
      </c>
      <c r="K19" s="101"/>
      <c r="L19" s="356">
        <f t="shared" si="1"/>
        <v>0</v>
      </c>
      <c r="M19" s="453"/>
      <c r="N19" s="68"/>
      <c r="O19" s="362" t="s">
        <v>477</v>
      </c>
      <c r="P19" s="362" t="s">
        <v>475</v>
      </c>
      <c r="Q19" s="363"/>
    </row>
    <row r="20" spans="1:17" s="336" customFormat="1" ht="33.75">
      <c r="A20" s="240"/>
      <c r="B20" s="319">
        <f t="shared" si="0"/>
        <v>0</v>
      </c>
      <c r="C20" s="158"/>
      <c r="D20" s="357" t="s">
        <v>482</v>
      </c>
      <c r="E20" s="358" t="str">
        <f>Lists!C224</f>
        <v>Track, Earthen, No replace, Pasture</v>
      </c>
      <c r="F20" s="359"/>
      <c r="G20" s="353"/>
      <c r="H20" s="18"/>
      <c r="I20" s="360" t="s">
        <v>119</v>
      </c>
      <c r="J20" s="361">
        <v>2055.6594574217693</v>
      </c>
      <c r="K20" s="101"/>
      <c r="L20" s="356">
        <f t="shared" si="1"/>
        <v>0</v>
      </c>
      <c r="M20" s="453"/>
      <c r="N20" s="68"/>
      <c r="O20" s="362" t="s">
        <v>483</v>
      </c>
      <c r="P20" s="362" t="s">
        <v>478</v>
      </c>
      <c r="Q20" s="363"/>
    </row>
    <row r="21" spans="1:17" s="336" customFormat="1" ht="45">
      <c r="A21" s="240"/>
      <c r="B21" s="319">
        <f t="shared" si="0"/>
        <v>0</v>
      </c>
      <c r="C21" s="158"/>
      <c r="D21" s="357" t="s">
        <v>484</v>
      </c>
      <c r="E21" s="358" t="str">
        <f>Lists!C225</f>
        <v>Track, Earthen, No replace, Native</v>
      </c>
      <c r="F21" s="359"/>
      <c r="G21" s="353"/>
      <c r="H21" s="18"/>
      <c r="I21" s="360" t="s">
        <v>119</v>
      </c>
      <c r="J21" s="361">
        <v>4596.6594574217697</v>
      </c>
      <c r="K21" s="101"/>
      <c r="L21" s="356">
        <f t="shared" si="1"/>
        <v>0</v>
      </c>
      <c r="M21" s="453"/>
      <c r="N21" s="68"/>
      <c r="O21" s="362" t="s">
        <v>483</v>
      </c>
      <c r="P21" s="362" t="s">
        <v>472</v>
      </c>
      <c r="Q21" s="363"/>
    </row>
    <row r="22" spans="1:17" s="336" customFormat="1" ht="45">
      <c r="A22" s="240"/>
      <c r="B22" s="319">
        <f t="shared" si="0"/>
        <v>0</v>
      </c>
      <c r="C22" s="158"/>
      <c r="D22" s="357" t="s">
        <v>485</v>
      </c>
      <c r="E22" s="358" t="str">
        <f>Lists!C226</f>
        <v>Track, Earthen, No replace, Arid</v>
      </c>
      <c r="F22" s="359"/>
      <c r="G22" s="353"/>
      <c r="H22" s="18"/>
      <c r="I22" s="360" t="s">
        <v>119</v>
      </c>
      <c r="J22" s="361">
        <v>400.15945742176939</v>
      </c>
      <c r="K22" s="101"/>
      <c r="L22" s="356">
        <f t="shared" si="1"/>
        <v>0</v>
      </c>
      <c r="M22" s="453"/>
      <c r="N22" s="68"/>
      <c r="O22" s="362" t="s">
        <v>486</v>
      </c>
      <c r="P22" s="362" t="s">
        <v>475</v>
      </c>
      <c r="Q22" s="363"/>
    </row>
    <row r="23" spans="1:17" s="336" customFormat="1" ht="123.75">
      <c r="A23" s="240"/>
      <c r="B23" s="319">
        <f t="shared" si="0"/>
        <v>0</v>
      </c>
      <c r="C23" s="158"/>
      <c r="D23" s="357" t="s">
        <v>487</v>
      </c>
      <c r="E23" s="358" t="s">
        <v>488</v>
      </c>
      <c r="F23" s="359"/>
      <c r="G23" s="353"/>
      <c r="H23" s="18"/>
      <c r="I23" s="360" t="s">
        <v>489</v>
      </c>
      <c r="J23" s="361">
        <v>7725.7458291160174</v>
      </c>
      <c r="K23" s="101"/>
      <c r="L23" s="356">
        <f t="shared" si="1"/>
        <v>0</v>
      </c>
      <c r="M23" s="453"/>
      <c r="N23" s="68"/>
      <c r="O23" s="362" t="s">
        <v>490</v>
      </c>
      <c r="P23" s="362" t="s">
        <v>491</v>
      </c>
      <c r="Q23" s="363"/>
    </row>
    <row r="24" spans="1:17" s="336" customFormat="1" ht="33.75">
      <c r="A24" s="240"/>
      <c r="B24" s="319">
        <f t="shared" si="0"/>
        <v>0</v>
      </c>
      <c r="C24" s="158"/>
      <c r="D24" s="357" t="s">
        <v>492</v>
      </c>
      <c r="E24" s="358" t="s">
        <v>493</v>
      </c>
      <c r="F24" s="359"/>
      <c r="G24" s="353"/>
      <c r="H24" s="18"/>
      <c r="I24" s="360" t="s">
        <v>489</v>
      </c>
      <c r="J24" s="361">
        <v>17428.138755904612</v>
      </c>
      <c r="K24" s="101"/>
      <c r="L24" s="356">
        <f t="shared" si="1"/>
        <v>0</v>
      </c>
      <c r="M24" s="453"/>
      <c r="N24" s="68"/>
      <c r="O24" s="362" t="s">
        <v>494</v>
      </c>
      <c r="P24" s="362" t="s">
        <v>495</v>
      </c>
      <c r="Q24" s="363"/>
    </row>
    <row r="25" spans="1:17" s="336" customFormat="1" ht="33.75">
      <c r="A25" s="240"/>
      <c r="B25" s="319">
        <f t="shared" si="0"/>
        <v>0</v>
      </c>
      <c r="C25" s="158"/>
      <c r="D25" s="357" t="s">
        <v>496</v>
      </c>
      <c r="E25" s="358" t="s">
        <v>497</v>
      </c>
      <c r="F25" s="359"/>
      <c r="G25" s="353"/>
      <c r="H25" s="18"/>
      <c r="I25" s="360" t="s">
        <v>489</v>
      </c>
      <c r="J25" s="361">
        <v>31905.804496244127</v>
      </c>
      <c r="K25" s="101"/>
      <c r="L25" s="356">
        <f t="shared" si="1"/>
        <v>0</v>
      </c>
      <c r="M25" s="453"/>
      <c r="N25" s="68"/>
      <c r="O25" s="362" t="s">
        <v>494</v>
      </c>
      <c r="P25" s="362" t="s">
        <v>495</v>
      </c>
      <c r="Q25" s="363"/>
    </row>
    <row r="26" spans="1:17" s="336" customFormat="1" ht="33.75">
      <c r="A26" s="240"/>
      <c r="B26" s="319">
        <f t="shared" si="0"/>
        <v>0</v>
      </c>
      <c r="C26" s="158"/>
      <c r="D26" s="357" t="s">
        <v>498</v>
      </c>
      <c r="E26" s="358" t="s">
        <v>499</v>
      </c>
      <c r="F26" s="359"/>
      <c r="G26" s="353"/>
      <c r="H26" s="18"/>
      <c r="I26" s="360" t="s">
        <v>489</v>
      </c>
      <c r="J26" s="361">
        <v>44008.605520024226</v>
      </c>
      <c r="K26" s="101"/>
      <c r="L26" s="356">
        <f t="shared" si="1"/>
        <v>0</v>
      </c>
      <c r="M26" s="453"/>
      <c r="N26" s="68"/>
      <c r="O26" s="362" t="s">
        <v>494</v>
      </c>
      <c r="P26" s="362" t="s">
        <v>495</v>
      </c>
      <c r="Q26" s="363"/>
    </row>
    <row r="27" spans="1:17" s="336" customFormat="1" ht="33.75">
      <c r="A27" s="240"/>
      <c r="B27" s="319">
        <f t="shared" si="0"/>
        <v>0</v>
      </c>
      <c r="C27" s="158"/>
      <c r="D27" s="357" t="s">
        <v>500</v>
      </c>
      <c r="E27" s="358" t="s">
        <v>501</v>
      </c>
      <c r="F27" s="359"/>
      <c r="G27" s="353"/>
      <c r="H27" s="18"/>
      <c r="I27" s="360" t="s">
        <v>489</v>
      </c>
      <c r="J27" s="361">
        <v>76669.003306992439</v>
      </c>
      <c r="K27" s="101"/>
      <c r="L27" s="356">
        <f t="shared" si="1"/>
        <v>0</v>
      </c>
      <c r="M27" s="453"/>
      <c r="N27" s="68"/>
      <c r="O27" s="362" t="s">
        <v>494</v>
      </c>
      <c r="P27" s="362" t="s">
        <v>495</v>
      </c>
      <c r="Q27" s="363"/>
    </row>
    <row r="28" spans="1:17" s="336" customFormat="1" ht="33.75">
      <c r="A28" s="240"/>
      <c r="B28" s="319">
        <f t="shared" si="0"/>
        <v>0</v>
      </c>
      <c r="C28" s="158"/>
      <c r="D28" s="357" t="s">
        <v>502</v>
      </c>
      <c r="E28" s="358" t="s">
        <v>183</v>
      </c>
      <c r="F28" s="359"/>
      <c r="G28" s="353"/>
      <c r="H28" s="18"/>
      <c r="I28" s="360" t="s">
        <v>489</v>
      </c>
      <c r="J28" s="361">
        <v>6836.7211594257087</v>
      </c>
      <c r="K28" s="101"/>
      <c r="L28" s="356">
        <f t="shared" si="1"/>
        <v>0</v>
      </c>
      <c r="M28" s="453"/>
      <c r="N28" s="68"/>
      <c r="O28" s="362" t="s">
        <v>494</v>
      </c>
      <c r="P28" s="362" t="s">
        <v>495</v>
      </c>
      <c r="Q28" s="363"/>
    </row>
    <row r="29" spans="1:17" s="336" customFormat="1" ht="33.75">
      <c r="A29" s="240"/>
      <c r="B29" s="319">
        <f t="shared" si="0"/>
        <v>0</v>
      </c>
      <c r="C29" s="158"/>
      <c r="D29" s="357" t="s">
        <v>503</v>
      </c>
      <c r="E29" s="358" t="s">
        <v>184</v>
      </c>
      <c r="F29" s="359"/>
      <c r="G29" s="353"/>
      <c r="H29" s="18"/>
      <c r="I29" s="360" t="s">
        <v>489</v>
      </c>
      <c r="J29" s="361">
        <v>14761.064746833692</v>
      </c>
      <c r="K29" s="101"/>
      <c r="L29" s="356">
        <f t="shared" si="1"/>
        <v>0</v>
      </c>
      <c r="M29" s="453"/>
      <c r="N29" s="68"/>
      <c r="O29" s="362" t="s">
        <v>494</v>
      </c>
      <c r="P29" s="362" t="s">
        <v>495</v>
      </c>
      <c r="Q29" s="363"/>
    </row>
    <row r="30" spans="1:17" s="336" customFormat="1" ht="33.75">
      <c r="A30" s="240"/>
      <c r="B30" s="319">
        <f t="shared" si="0"/>
        <v>0</v>
      </c>
      <c r="C30" s="158"/>
      <c r="D30" s="357" t="s">
        <v>504</v>
      </c>
      <c r="E30" s="358" t="s">
        <v>184</v>
      </c>
      <c r="F30" s="359"/>
      <c r="G30" s="353"/>
      <c r="H30" s="18"/>
      <c r="I30" s="360" t="s">
        <v>489</v>
      </c>
      <c r="J30" s="361">
        <v>27460.681147792588</v>
      </c>
      <c r="K30" s="101"/>
      <c r="L30" s="356">
        <f t="shared" si="1"/>
        <v>0</v>
      </c>
      <c r="M30" s="453"/>
      <c r="N30" s="68"/>
      <c r="O30" s="362" t="s">
        <v>494</v>
      </c>
      <c r="P30" s="362" t="s">
        <v>495</v>
      </c>
      <c r="Q30" s="363"/>
    </row>
    <row r="31" spans="1:17" s="336" customFormat="1" ht="33.75">
      <c r="A31" s="240"/>
      <c r="B31" s="319">
        <f t="shared" si="0"/>
        <v>0</v>
      </c>
      <c r="C31" s="158"/>
      <c r="D31" s="357" t="s">
        <v>505</v>
      </c>
      <c r="E31" s="358" t="s">
        <v>185</v>
      </c>
      <c r="F31" s="359"/>
      <c r="G31" s="353"/>
      <c r="H31" s="18"/>
      <c r="I31" s="360" t="s">
        <v>489</v>
      </c>
      <c r="J31" s="361">
        <v>38674.457501882374</v>
      </c>
      <c r="K31" s="101"/>
      <c r="L31" s="356">
        <f t="shared" si="1"/>
        <v>0</v>
      </c>
      <c r="M31" s="453"/>
      <c r="N31" s="68"/>
      <c r="O31" s="362" t="s">
        <v>494</v>
      </c>
      <c r="P31" s="362" t="s">
        <v>495</v>
      </c>
      <c r="Q31" s="363"/>
    </row>
    <row r="32" spans="1:17" s="336" customFormat="1" ht="33.75">
      <c r="A32" s="240"/>
      <c r="B32" s="319">
        <f t="shared" si="0"/>
        <v>0</v>
      </c>
      <c r="C32" s="158"/>
      <c r="D32" s="357" t="s">
        <v>506</v>
      </c>
      <c r="E32" s="358" t="s">
        <v>186</v>
      </c>
      <c r="F32" s="359"/>
      <c r="G32" s="353"/>
      <c r="H32" s="18"/>
      <c r="I32" s="360" t="s">
        <v>489</v>
      </c>
      <c r="J32" s="361">
        <v>66000.70727070875</v>
      </c>
      <c r="K32" s="101"/>
      <c r="L32" s="356">
        <f t="shared" ref="L32:L41" si="2">IF(K32="",J32,K32)*H32</f>
        <v>0</v>
      </c>
      <c r="M32" s="453"/>
      <c r="N32" s="68"/>
      <c r="O32" s="362" t="s">
        <v>494</v>
      </c>
      <c r="P32" s="362" t="s">
        <v>495</v>
      </c>
      <c r="Q32" s="363"/>
    </row>
    <row r="33" spans="1:17" s="336" customFormat="1" ht="61.35" customHeight="1">
      <c r="A33" s="240"/>
      <c r="B33" s="319">
        <f t="shared" si="0"/>
        <v>0</v>
      </c>
      <c r="C33" s="158"/>
      <c r="D33" s="357" t="s">
        <v>507</v>
      </c>
      <c r="E33" s="358" t="str" cm="1">
        <f t="array" ref="E33:E35">WellList_coreholes</f>
        <v>Conventional oil, Corehole, Single well</v>
      </c>
      <c r="F33" s="359"/>
      <c r="G33" s="353"/>
      <c r="H33" s="18"/>
      <c r="I33" s="360" t="s">
        <v>13</v>
      </c>
      <c r="J33" s="361">
        <v>313.78133807486148</v>
      </c>
      <c r="K33" s="101"/>
      <c r="L33" s="356">
        <f t="shared" si="2"/>
        <v>0</v>
      </c>
      <c r="M33" s="453"/>
      <c r="N33" s="68"/>
      <c r="O33" s="362" t="str">
        <f>CONCATENATE("Enter number of coreholes used for conventional oil and gas exploration. Use for wells where only minor surface work is required. Does not include a sump. If drill site has a sump enter to rate ",$D$36)</f>
        <v>Enter number of coreholes used for conventional oil and gas exploration. Use for wells where only minor surface work is required. Does not include a sump. If drill site has a sump enter to rate #1.29</v>
      </c>
      <c r="P33" s="362" t="s">
        <v>508</v>
      </c>
      <c r="Q33" s="363"/>
    </row>
    <row r="34" spans="1:17" s="336" customFormat="1" ht="61.35" customHeight="1">
      <c r="A34" s="240"/>
      <c r="B34" s="319">
        <f t="shared" si="0"/>
        <v>0</v>
      </c>
      <c r="C34" s="158"/>
      <c r="D34" s="357" t="s">
        <v>509</v>
      </c>
      <c r="E34" s="358" t="str">
        <v>Coal seam gas, Corehole, Single well</v>
      </c>
      <c r="F34" s="359"/>
      <c r="G34" s="353"/>
      <c r="H34" s="18"/>
      <c r="I34" s="360" t="s">
        <v>13</v>
      </c>
      <c r="J34" s="361">
        <v>313.78133807486148</v>
      </c>
      <c r="K34" s="101"/>
      <c r="L34" s="356">
        <f t="shared" si="2"/>
        <v>0</v>
      </c>
      <c r="M34" s="453"/>
      <c r="N34" s="68"/>
      <c r="O34" s="362" t="str">
        <f>CONCATENATE("Enter number of coreholes used for coal seam gas exploration. Use for wells where only minor surface work is required. Does not include a sump. If drill site has a sump enter to rate ",$D$36)</f>
        <v>Enter number of coreholes used for coal seam gas exploration. Use for wells where only minor surface work is required. Does not include a sump. If drill site has a sump enter to rate #1.29</v>
      </c>
      <c r="P34" s="362" t="s">
        <v>508</v>
      </c>
      <c r="Q34" s="363"/>
    </row>
    <row r="35" spans="1:17" s="336" customFormat="1" ht="61.35" customHeight="1">
      <c r="A35" s="240"/>
      <c r="B35" s="319">
        <f t="shared" si="0"/>
        <v>0</v>
      </c>
      <c r="C35" s="158"/>
      <c r="D35" s="357" t="s">
        <v>510</v>
      </c>
      <c r="E35" s="358" t="str">
        <v>Tight / shale gas, Corehole, Single well</v>
      </c>
      <c r="F35" s="359"/>
      <c r="G35" s="353"/>
      <c r="H35" s="18"/>
      <c r="I35" s="360" t="s">
        <v>13</v>
      </c>
      <c r="J35" s="361">
        <v>313.78133807486148</v>
      </c>
      <c r="K35" s="101"/>
      <c r="L35" s="356">
        <f t="shared" si="2"/>
        <v>0</v>
      </c>
      <c r="M35" s="453"/>
      <c r="N35" s="68"/>
      <c r="O35" s="362" t="str">
        <f>CONCATENATE("Enter number of coreholes used for tight gas exploration. Use for wells where only minor surface work is required. Does not include a sump. If drill site has a sump enter to rate ",$D$36)</f>
        <v>Enter number of coreholes used for tight gas exploration. Use for wells where only minor surface work is required. Does not include a sump. If drill site has a sump enter to rate #1.29</v>
      </c>
      <c r="P35" s="362" t="s">
        <v>508</v>
      </c>
      <c r="Q35" s="363"/>
    </row>
    <row r="36" spans="1:17" s="336" customFormat="1" ht="45">
      <c r="A36" s="240"/>
      <c r="B36" s="319">
        <f t="shared" si="0"/>
        <v>0</v>
      </c>
      <c r="C36" s="158"/>
      <c r="D36" s="357" t="s">
        <v>511</v>
      </c>
      <c r="E36" s="358" t="s">
        <v>512</v>
      </c>
      <c r="F36" s="359"/>
      <c r="G36" s="353"/>
      <c r="H36" s="18"/>
      <c r="I36" s="360" t="s">
        <v>513</v>
      </c>
      <c r="J36" s="361">
        <v>2302.222010212633</v>
      </c>
      <c r="K36" s="101"/>
      <c r="L36" s="356">
        <f t="shared" si="2"/>
        <v>0</v>
      </c>
      <c r="M36" s="453"/>
      <c r="N36" s="68"/>
      <c r="O36" s="362" t="s">
        <v>514</v>
      </c>
      <c r="P36" s="362" t="s">
        <v>515</v>
      </c>
      <c r="Q36" s="363"/>
    </row>
    <row r="37" spans="1:17" s="336" customFormat="1" ht="56.25">
      <c r="A37" s="240"/>
      <c r="B37" s="319">
        <f t="shared" si="0"/>
        <v>0</v>
      </c>
      <c r="C37" s="158"/>
      <c r="D37" s="357" t="s">
        <v>516</v>
      </c>
      <c r="E37" s="358" t="s">
        <v>517</v>
      </c>
      <c r="F37" s="359"/>
      <c r="G37" s="353"/>
      <c r="H37" s="18"/>
      <c r="I37" s="360" t="s">
        <v>119</v>
      </c>
      <c r="J37" s="361">
        <v>1655.5</v>
      </c>
      <c r="K37" s="101"/>
      <c r="L37" s="356">
        <f t="shared" si="2"/>
        <v>0</v>
      </c>
      <c r="M37" s="453"/>
      <c r="N37" s="68"/>
      <c r="O37" s="362" t="s">
        <v>518</v>
      </c>
      <c r="P37" s="362" t="s">
        <v>519</v>
      </c>
      <c r="Q37" s="363"/>
    </row>
    <row r="38" spans="1:17" s="336" customFormat="1" ht="56.25">
      <c r="A38" s="240"/>
      <c r="B38" s="319">
        <f t="shared" si="0"/>
        <v>0</v>
      </c>
      <c r="C38" s="158"/>
      <c r="D38" s="357" t="s">
        <v>520</v>
      </c>
      <c r="E38" s="358" t="s">
        <v>521</v>
      </c>
      <c r="F38" s="359"/>
      <c r="G38" s="353"/>
      <c r="H38" s="18"/>
      <c r="I38" s="360" t="s">
        <v>119</v>
      </c>
      <c r="J38" s="361">
        <v>4196.5</v>
      </c>
      <c r="K38" s="101"/>
      <c r="L38" s="356">
        <f t="shared" si="2"/>
        <v>0</v>
      </c>
      <c r="M38" s="453"/>
      <c r="N38" s="68"/>
      <c r="O38" s="362" t="s">
        <v>518</v>
      </c>
      <c r="P38" s="362" t="s">
        <v>522</v>
      </c>
      <c r="Q38" s="363"/>
    </row>
    <row r="39" spans="1:17" s="336" customFormat="1" ht="123.75">
      <c r="A39" s="240"/>
      <c r="B39" s="319">
        <f t="shared" si="0"/>
        <v>0</v>
      </c>
      <c r="C39" s="158"/>
      <c r="D39" s="357" t="s">
        <v>523</v>
      </c>
      <c r="E39" s="451" t="s">
        <v>524</v>
      </c>
      <c r="F39" s="364" t="s">
        <v>525</v>
      </c>
      <c r="G39" s="365" t="s">
        <v>526</v>
      </c>
      <c r="H39" s="18"/>
      <c r="I39" s="360" t="s">
        <v>80</v>
      </c>
      <c r="J39" s="361">
        <f>IF(E39=Lists!$C$143,0,VLOOKUP(E39,$E$93:$J$97,6,FALSE))</f>
        <v>99664.926953144924</v>
      </c>
      <c r="K39" s="101"/>
      <c r="L39" s="356">
        <f t="shared" si="2"/>
        <v>0</v>
      </c>
      <c r="M39" s="453"/>
      <c r="N39" s="68"/>
      <c r="O39" s="362" t="s">
        <v>527</v>
      </c>
      <c r="P39" s="362" t="s">
        <v>528</v>
      </c>
      <c r="Q39" s="363"/>
    </row>
    <row r="40" spans="1:17" s="336" customFormat="1" ht="45">
      <c r="A40" s="240"/>
      <c r="B40" s="319">
        <f t="shared" si="0"/>
        <v>0</v>
      </c>
      <c r="C40" s="158"/>
      <c r="D40" s="357" t="s">
        <v>529</v>
      </c>
      <c r="E40" s="451" t="s">
        <v>530</v>
      </c>
      <c r="F40" s="364" t="s">
        <v>525</v>
      </c>
      <c r="G40" s="365" t="s">
        <v>531</v>
      </c>
      <c r="H40" s="18"/>
      <c r="I40" s="360" t="s">
        <v>80</v>
      </c>
      <c r="J40" s="361">
        <f>IF(E40=Lists!$C$143,0,VLOOKUP(E40,$E$93:$J$97,6,FALSE))</f>
        <v>68759.122094957042</v>
      </c>
      <c r="K40" s="101"/>
      <c r="L40" s="356">
        <f t="shared" si="2"/>
        <v>0</v>
      </c>
      <c r="M40" s="453"/>
      <c r="N40" s="68"/>
      <c r="O40" s="362" t="s">
        <v>527</v>
      </c>
      <c r="P40" s="362" t="s">
        <v>495</v>
      </c>
      <c r="Q40" s="363"/>
    </row>
    <row r="41" spans="1:17" s="336" customFormat="1" ht="22.5">
      <c r="A41" s="240"/>
      <c r="B41" s="319">
        <f t="shared" si="0"/>
        <v>0</v>
      </c>
      <c r="C41" s="158"/>
      <c r="D41" s="357" t="s">
        <v>532</v>
      </c>
      <c r="E41" s="65" t="s">
        <v>533</v>
      </c>
      <c r="F41" s="366"/>
      <c r="G41" s="367"/>
      <c r="H41" s="18"/>
      <c r="I41" s="62"/>
      <c r="J41" s="368"/>
      <c r="K41" s="102"/>
      <c r="L41" s="356">
        <f t="shared" si="2"/>
        <v>0</v>
      </c>
      <c r="M41" s="452"/>
      <c r="N41" s="83"/>
      <c r="O41" s="350"/>
      <c r="P41" s="84"/>
    </row>
    <row r="42" spans="1:17" s="336" customFormat="1">
      <c r="A42" s="240"/>
      <c r="B42" s="319">
        <f t="shared" si="0"/>
        <v>0</v>
      </c>
      <c r="C42" s="158"/>
      <c r="D42" s="357" t="s">
        <v>534</v>
      </c>
      <c r="E42" s="65" t="s">
        <v>535</v>
      </c>
      <c r="F42" s="359"/>
      <c r="G42" s="353"/>
      <c r="H42" s="18"/>
      <c r="I42" s="62"/>
      <c r="J42" s="368"/>
      <c r="K42" s="102"/>
      <c r="L42" s="356">
        <f t="shared" ref="L42:L48" si="3">H42*K42</f>
        <v>0</v>
      </c>
      <c r="M42" s="453"/>
      <c r="N42" s="68"/>
      <c r="O42" s="350"/>
      <c r="P42" s="70"/>
    </row>
    <row r="43" spans="1:17" s="336" customFormat="1">
      <c r="A43" s="240"/>
      <c r="B43" s="319">
        <f t="shared" si="0"/>
        <v>0</v>
      </c>
      <c r="C43" s="158"/>
      <c r="D43" s="357" t="s">
        <v>536</v>
      </c>
      <c r="E43" s="65" t="s">
        <v>535</v>
      </c>
      <c r="F43" s="359"/>
      <c r="G43" s="353"/>
      <c r="H43" s="18"/>
      <c r="I43" s="62"/>
      <c r="J43" s="368"/>
      <c r="K43" s="102"/>
      <c r="L43" s="356">
        <f t="shared" si="3"/>
        <v>0</v>
      </c>
      <c r="M43" s="453"/>
      <c r="N43" s="68"/>
      <c r="O43" s="350"/>
      <c r="P43" s="70"/>
    </row>
    <row r="44" spans="1:17" s="336" customFormat="1">
      <c r="A44" s="240"/>
      <c r="B44" s="319">
        <f t="shared" si="0"/>
        <v>0</v>
      </c>
      <c r="C44" s="158"/>
      <c r="D44" s="357" t="s">
        <v>537</v>
      </c>
      <c r="E44" s="65" t="s">
        <v>535</v>
      </c>
      <c r="F44" s="359"/>
      <c r="G44" s="353"/>
      <c r="H44" s="18"/>
      <c r="I44" s="62"/>
      <c r="J44" s="368"/>
      <c r="K44" s="102"/>
      <c r="L44" s="356">
        <f t="shared" si="3"/>
        <v>0</v>
      </c>
      <c r="M44" s="453"/>
      <c r="N44" s="68"/>
      <c r="O44" s="350"/>
      <c r="P44" s="70"/>
    </row>
    <row r="45" spans="1:17" s="336" customFormat="1">
      <c r="A45" s="240"/>
      <c r="B45" s="319">
        <f t="shared" si="0"/>
        <v>0</v>
      </c>
      <c r="C45" s="158"/>
      <c r="D45" s="357" t="s">
        <v>538</v>
      </c>
      <c r="E45" s="65" t="s">
        <v>535</v>
      </c>
      <c r="F45" s="359"/>
      <c r="G45" s="353"/>
      <c r="H45" s="18"/>
      <c r="I45" s="62"/>
      <c r="J45" s="368"/>
      <c r="K45" s="102"/>
      <c r="L45" s="356">
        <f t="shared" si="3"/>
        <v>0</v>
      </c>
      <c r="M45" s="453"/>
      <c r="N45" s="68"/>
      <c r="O45" s="350"/>
      <c r="P45" s="70"/>
    </row>
    <row r="46" spans="1:17" s="336" customFormat="1">
      <c r="A46" s="240"/>
      <c r="B46" s="319">
        <f t="shared" si="0"/>
        <v>0</v>
      </c>
      <c r="C46" s="158"/>
      <c r="D46" s="357" t="s">
        <v>539</v>
      </c>
      <c r="E46" s="65" t="s">
        <v>535</v>
      </c>
      <c r="F46" s="359"/>
      <c r="G46" s="353"/>
      <c r="H46" s="18"/>
      <c r="I46" s="62"/>
      <c r="J46" s="368"/>
      <c r="K46" s="102"/>
      <c r="L46" s="356">
        <f t="shared" si="3"/>
        <v>0</v>
      </c>
      <c r="M46" s="453"/>
      <c r="N46" s="68"/>
      <c r="O46" s="350"/>
      <c r="P46" s="70"/>
    </row>
    <row r="47" spans="1:17" s="336" customFormat="1">
      <c r="A47" s="240"/>
      <c r="B47" s="319">
        <f t="shared" si="0"/>
        <v>0</v>
      </c>
      <c r="C47" s="158"/>
      <c r="D47" s="357" t="s">
        <v>540</v>
      </c>
      <c r="E47" s="65" t="s">
        <v>535</v>
      </c>
      <c r="F47" s="359"/>
      <c r="G47" s="353"/>
      <c r="H47" s="18"/>
      <c r="I47" s="62"/>
      <c r="J47" s="368"/>
      <c r="K47" s="102"/>
      <c r="L47" s="356">
        <f t="shared" si="3"/>
        <v>0</v>
      </c>
      <c r="M47" s="453"/>
      <c r="N47" s="68"/>
      <c r="O47" s="350"/>
      <c r="P47" s="70"/>
    </row>
    <row r="48" spans="1:17" s="336" customFormat="1">
      <c r="A48" s="240"/>
      <c r="B48" s="319">
        <f t="shared" si="0"/>
        <v>0</v>
      </c>
      <c r="C48" s="159"/>
      <c r="D48" s="357" t="s">
        <v>541</v>
      </c>
      <c r="E48" s="66" t="s">
        <v>535</v>
      </c>
      <c r="F48" s="359"/>
      <c r="G48" s="353"/>
      <c r="H48" s="63"/>
      <c r="I48" s="64"/>
      <c r="J48" s="368"/>
      <c r="K48" s="102"/>
      <c r="L48" s="356">
        <f t="shared" si="3"/>
        <v>0</v>
      </c>
      <c r="M48" s="453"/>
      <c r="N48" s="68"/>
      <c r="O48" s="369"/>
      <c r="P48" s="70"/>
    </row>
    <row r="49" spans="1:17" s="336" customFormat="1">
      <c r="A49" s="240"/>
      <c r="B49" s="319">
        <v>1</v>
      </c>
      <c r="C49" s="370"/>
      <c r="D49" s="371"/>
      <c r="E49" s="371"/>
      <c r="F49" s="371"/>
      <c r="G49" s="371"/>
      <c r="H49" s="372"/>
      <c r="I49" s="371"/>
      <c r="J49" s="373"/>
      <c r="K49" s="374" t="s">
        <v>198</v>
      </c>
      <c r="L49" s="375">
        <f>SUBTOTAL(9,L7:L48)</f>
        <v>0</v>
      </c>
      <c r="M49" s="376"/>
      <c r="N49" s="377"/>
      <c r="O49" s="378"/>
      <c r="P49" s="379"/>
    </row>
    <row r="50" spans="1:17" s="336" customFormat="1" ht="15">
      <c r="A50" s="240"/>
      <c r="B50" s="319">
        <v>1</v>
      </c>
      <c r="C50" s="340" t="s">
        <v>542</v>
      </c>
      <c r="D50" s="341"/>
      <c r="E50" s="342"/>
      <c r="F50" s="342"/>
      <c r="G50" s="342"/>
      <c r="H50" s="380"/>
      <c r="I50" s="342"/>
      <c r="J50" s="381"/>
      <c r="K50" s="382"/>
      <c r="L50" s="383"/>
      <c r="M50" s="346"/>
      <c r="N50" s="347"/>
      <c r="O50" s="348"/>
      <c r="P50" s="349"/>
    </row>
    <row r="51" spans="1:17" s="336" customFormat="1" ht="45">
      <c r="A51" s="240"/>
      <c r="B51" s="319">
        <f>IF(L51&gt;0,1,0)</f>
        <v>0</v>
      </c>
      <c r="C51" s="158"/>
      <c r="D51" s="384"/>
      <c r="E51" s="358" t="s">
        <v>543</v>
      </c>
      <c r="F51" s="350"/>
      <c r="G51" s="352"/>
      <c r="H51" s="353"/>
      <c r="I51" s="354" t="s">
        <v>159</v>
      </c>
      <c r="J51" s="355"/>
      <c r="K51" s="355"/>
      <c r="L51" s="356">
        <f>'Seismic and Infrastructure'!E3</f>
        <v>0</v>
      </c>
      <c r="M51" s="453"/>
      <c r="N51" s="68"/>
      <c r="O51" s="362" t="s">
        <v>544</v>
      </c>
      <c r="P51" s="362" t="s">
        <v>472</v>
      </c>
      <c r="Q51" s="363"/>
    </row>
    <row r="52" spans="1:17" s="336" customFormat="1" ht="45">
      <c r="A52" s="240"/>
      <c r="B52" s="319">
        <f t="shared" ref="B52:B85" si="4">IF(L52&gt;0,1,0)</f>
        <v>0</v>
      </c>
      <c r="C52" s="158"/>
      <c r="D52" s="385" t="s">
        <v>545</v>
      </c>
      <c r="E52" s="358" t="str">
        <f>Lists!C184</f>
        <v>Track, Earthen, No replace, 3 m wide, Pasture</v>
      </c>
      <c r="F52" s="359"/>
      <c r="G52" s="353"/>
      <c r="H52" s="18"/>
      <c r="I52" s="360" t="s">
        <v>82</v>
      </c>
      <c r="J52" s="361">
        <v>616.69783722653074</v>
      </c>
      <c r="K52" s="101"/>
      <c r="L52" s="386">
        <f t="shared" ref="L52:L59" si="5">IF(K52="",J52,K52)*H52</f>
        <v>0</v>
      </c>
      <c r="M52" s="453"/>
      <c r="N52" s="68"/>
      <c r="O52" s="362" t="s">
        <v>471</v>
      </c>
      <c r="P52" s="362" t="s">
        <v>472</v>
      </c>
      <c r="Q52" s="363"/>
    </row>
    <row r="53" spans="1:17" s="336" customFormat="1" ht="45">
      <c r="A53" s="240"/>
      <c r="B53" s="319">
        <f t="shared" si="4"/>
        <v>0</v>
      </c>
      <c r="C53" s="158"/>
      <c r="D53" s="385" t="s">
        <v>546</v>
      </c>
      <c r="E53" s="358" t="str">
        <f>Lists!C185</f>
        <v>Track, Earthen, No replace, 3 m wide, Native</v>
      </c>
      <c r="F53" s="359"/>
      <c r="G53" s="353"/>
      <c r="H53" s="18"/>
      <c r="I53" s="360" t="s">
        <v>82</v>
      </c>
      <c r="J53" s="361">
        <v>1378.9978372265309</v>
      </c>
      <c r="K53" s="101"/>
      <c r="L53" s="386">
        <f t="shared" si="5"/>
        <v>0</v>
      </c>
      <c r="M53" s="453"/>
      <c r="N53" s="68"/>
      <c r="O53" s="362" t="s">
        <v>474</v>
      </c>
      <c r="P53" s="362" t="s">
        <v>475</v>
      </c>
      <c r="Q53" s="363"/>
    </row>
    <row r="54" spans="1:17" s="336" customFormat="1" ht="33.75">
      <c r="A54" s="240"/>
      <c r="B54" s="319">
        <f t="shared" si="4"/>
        <v>0</v>
      </c>
      <c r="C54" s="158"/>
      <c r="D54" s="385" t="s">
        <v>547</v>
      </c>
      <c r="E54" s="358" t="str">
        <f>Lists!C186</f>
        <v>Track, Earthen, No replace, 3 m wide, Arid</v>
      </c>
      <c r="F54" s="359"/>
      <c r="G54" s="353"/>
      <c r="H54" s="18"/>
      <c r="I54" s="360" t="s">
        <v>82</v>
      </c>
      <c r="J54" s="361">
        <v>120.04783722653082</v>
      </c>
      <c r="K54" s="101"/>
      <c r="L54" s="386">
        <f t="shared" si="5"/>
        <v>0</v>
      </c>
      <c r="M54" s="453"/>
      <c r="N54" s="68"/>
      <c r="O54" s="362" t="s">
        <v>477</v>
      </c>
      <c r="P54" s="362" t="s">
        <v>478</v>
      </c>
      <c r="Q54" s="363"/>
    </row>
    <row r="55" spans="1:17" s="336" customFormat="1" ht="45">
      <c r="A55" s="240"/>
      <c r="B55" s="319">
        <f t="shared" si="4"/>
        <v>0</v>
      </c>
      <c r="C55" s="158"/>
      <c r="D55" s="385" t="s">
        <v>548</v>
      </c>
      <c r="E55" s="358" t="str">
        <f>Lists!C187</f>
        <v>Track, Earthen, No replace, 6 m wide, Pasture</v>
      </c>
      <c r="F55" s="359"/>
      <c r="G55" s="353"/>
      <c r="H55" s="18"/>
      <c r="I55" s="360" t="s">
        <v>82</v>
      </c>
      <c r="J55" s="361">
        <v>1233.3956744530615</v>
      </c>
      <c r="K55" s="101"/>
      <c r="L55" s="386">
        <f t="shared" si="5"/>
        <v>0</v>
      </c>
      <c r="M55" s="453"/>
      <c r="N55" s="68"/>
      <c r="O55" s="362" t="s">
        <v>471</v>
      </c>
      <c r="P55" s="362" t="s">
        <v>472</v>
      </c>
      <c r="Q55" s="363"/>
    </row>
    <row r="56" spans="1:17" s="336" customFormat="1" ht="45">
      <c r="A56" s="240"/>
      <c r="B56" s="319">
        <f t="shared" si="4"/>
        <v>0</v>
      </c>
      <c r="C56" s="158"/>
      <c r="D56" s="385" t="s">
        <v>549</v>
      </c>
      <c r="E56" s="358" t="str">
        <f>Lists!C188</f>
        <v>Track, Earthen, No replace, 6 m wide, Native</v>
      </c>
      <c r="F56" s="359"/>
      <c r="G56" s="353"/>
      <c r="H56" s="18"/>
      <c r="I56" s="360" t="s">
        <v>82</v>
      </c>
      <c r="J56" s="361">
        <v>2757.9956744530618</v>
      </c>
      <c r="K56" s="101"/>
      <c r="L56" s="386">
        <f t="shared" si="5"/>
        <v>0</v>
      </c>
      <c r="M56" s="453"/>
      <c r="N56" s="68"/>
      <c r="O56" s="362" t="s">
        <v>474</v>
      </c>
      <c r="P56" s="362" t="s">
        <v>472</v>
      </c>
      <c r="Q56" s="363"/>
    </row>
    <row r="57" spans="1:17" s="336" customFormat="1" ht="45">
      <c r="A57" s="240"/>
      <c r="B57" s="319">
        <f t="shared" si="4"/>
        <v>0</v>
      </c>
      <c r="C57" s="158"/>
      <c r="D57" s="385" t="s">
        <v>550</v>
      </c>
      <c r="E57" s="358" t="str">
        <f>Lists!C189</f>
        <v>Track, Earthen, No replace, 6 m wide, Arid</v>
      </c>
      <c r="F57" s="359"/>
      <c r="G57" s="353"/>
      <c r="H57" s="18"/>
      <c r="I57" s="362" t="s">
        <v>82</v>
      </c>
      <c r="J57" s="361">
        <v>240.09567445306163</v>
      </c>
      <c r="K57" s="101"/>
      <c r="L57" s="356">
        <f t="shared" si="5"/>
        <v>0</v>
      </c>
      <c r="M57" s="453"/>
      <c r="N57" s="68"/>
      <c r="O57" s="362" t="s">
        <v>477</v>
      </c>
      <c r="P57" s="362" t="s">
        <v>475</v>
      </c>
      <c r="Q57" s="363"/>
    </row>
    <row r="58" spans="1:17" s="336" customFormat="1" ht="33.75">
      <c r="A58" s="240"/>
      <c r="B58" s="319">
        <f t="shared" si="4"/>
        <v>0</v>
      </c>
      <c r="C58" s="158"/>
      <c r="D58" s="385" t="s">
        <v>551</v>
      </c>
      <c r="E58" s="358" t="str">
        <f>Lists!C224</f>
        <v>Track, Earthen, No replace, Pasture</v>
      </c>
      <c r="F58" s="359"/>
      <c r="G58" s="353"/>
      <c r="H58" s="18"/>
      <c r="I58" s="362" t="s">
        <v>119</v>
      </c>
      <c r="J58" s="361">
        <v>2055.6594574217693</v>
      </c>
      <c r="K58" s="101"/>
      <c r="L58" s="356">
        <f t="shared" si="5"/>
        <v>0</v>
      </c>
      <c r="M58" s="453"/>
      <c r="N58" s="68"/>
      <c r="O58" s="362" t="s">
        <v>483</v>
      </c>
      <c r="P58" s="362" t="s">
        <v>478</v>
      </c>
      <c r="Q58" s="363"/>
    </row>
    <row r="59" spans="1:17" s="336" customFormat="1" ht="45">
      <c r="A59" s="240"/>
      <c r="B59" s="319">
        <f t="shared" si="4"/>
        <v>0</v>
      </c>
      <c r="C59" s="158"/>
      <c r="D59" s="385" t="s">
        <v>552</v>
      </c>
      <c r="E59" s="358" t="str">
        <f>Lists!C225</f>
        <v>Track, Earthen, No replace, Native</v>
      </c>
      <c r="F59" s="359"/>
      <c r="G59" s="353"/>
      <c r="H59" s="18"/>
      <c r="I59" s="362" t="s">
        <v>119</v>
      </c>
      <c r="J59" s="361">
        <v>4596.6594574217697</v>
      </c>
      <c r="K59" s="101"/>
      <c r="L59" s="356">
        <f t="shared" si="5"/>
        <v>0</v>
      </c>
      <c r="M59" s="453"/>
      <c r="N59" s="68"/>
      <c r="O59" s="362" t="s">
        <v>483</v>
      </c>
      <c r="P59" s="362" t="s">
        <v>472</v>
      </c>
      <c r="Q59" s="363"/>
    </row>
    <row r="60" spans="1:17" s="336" customFormat="1" ht="45">
      <c r="A60" s="240"/>
      <c r="B60" s="319">
        <f t="shared" si="4"/>
        <v>0</v>
      </c>
      <c r="C60" s="2"/>
      <c r="D60" s="385" t="s">
        <v>553</v>
      </c>
      <c r="E60" s="358" t="str">
        <f>Lists!C226</f>
        <v>Track, Earthen, No replace, Arid</v>
      </c>
      <c r="F60" s="350"/>
      <c r="G60" s="353"/>
      <c r="H60" s="18"/>
      <c r="I60" s="362" t="s">
        <v>119</v>
      </c>
      <c r="J60" s="361">
        <v>400.15945742176939</v>
      </c>
      <c r="K60" s="101"/>
      <c r="L60" s="356">
        <f t="shared" ref="L60:L83" si="6">IF(K60="",J60,K60)*H60</f>
        <v>0</v>
      </c>
      <c r="M60" s="453"/>
      <c r="N60" s="68"/>
      <c r="O60" s="362" t="s">
        <v>486</v>
      </c>
      <c r="P60" s="362" t="s">
        <v>475</v>
      </c>
      <c r="Q60" s="363"/>
    </row>
    <row r="61" spans="1:17" s="336" customFormat="1" ht="56.25">
      <c r="A61" s="240"/>
      <c r="B61" s="319">
        <f t="shared" si="4"/>
        <v>0</v>
      </c>
      <c r="C61" s="2"/>
      <c r="D61" s="385" t="s">
        <v>554</v>
      </c>
      <c r="E61" s="358" t="str">
        <f>Lists!C190</f>
        <v>Track, Rock, No replace, 3 m wide, Pasture</v>
      </c>
      <c r="F61" s="350"/>
      <c r="G61" s="353"/>
      <c r="H61" s="19"/>
      <c r="I61" s="362" t="s">
        <v>82</v>
      </c>
      <c r="J61" s="361">
        <v>2467.4638072334947</v>
      </c>
      <c r="K61" s="101"/>
      <c r="L61" s="356">
        <f t="shared" ref="L61:L70" si="7">IF(K61="",J61,K61)*H61</f>
        <v>0</v>
      </c>
      <c r="M61" s="453"/>
      <c r="N61" s="68"/>
      <c r="O61" s="362" t="s">
        <v>471</v>
      </c>
      <c r="P61" s="362" t="s">
        <v>555</v>
      </c>
      <c r="Q61" s="363"/>
    </row>
    <row r="62" spans="1:17" s="336" customFormat="1" ht="56.25">
      <c r="A62" s="240"/>
      <c r="B62" s="319">
        <f t="shared" si="4"/>
        <v>0</v>
      </c>
      <c r="C62" s="2"/>
      <c r="D62" s="385" t="s">
        <v>556</v>
      </c>
      <c r="E62" s="358" t="str">
        <f>Lists!C191</f>
        <v>Track, Rock, No replace, 3 m wide, Native</v>
      </c>
      <c r="F62" s="350"/>
      <c r="G62" s="353"/>
      <c r="H62" s="19"/>
      <c r="I62" s="362" t="s">
        <v>82</v>
      </c>
      <c r="J62" s="361">
        <v>3229.7638072334948</v>
      </c>
      <c r="K62" s="101"/>
      <c r="L62" s="356">
        <f t="shared" si="7"/>
        <v>0</v>
      </c>
      <c r="M62" s="453"/>
      <c r="N62" s="68"/>
      <c r="O62" s="362" t="s">
        <v>474</v>
      </c>
      <c r="P62" s="362" t="s">
        <v>557</v>
      </c>
      <c r="Q62" s="363"/>
    </row>
    <row r="63" spans="1:17" s="336" customFormat="1" ht="33.75">
      <c r="A63" s="240"/>
      <c r="B63" s="319">
        <f t="shared" si="4"/>
        <v>0</v>
      </c>
      <c r="C63" s="2"/>
      <c r="D63" s="385" t="s">
        <v>558</v>
      </c>
      <c r="E63" s="358" t="str">
        <f>Lists!C192</f>
        <v>Track, Rock, No replace, 3 m wide, Arid</v>
      </c>
      <c r="F63" s="350"/>
      <c r="G63" s="353"/>
      <c r="H63" s="19"/>
      <c r="I63" s="362" t="s">
        <v>82</v>
      </c>
      <c r="J63" s="361">
        <v>1970.8138072334946</v>
      </c>
      <c r="K63" s="101"/>
      <c r="L63" s="356">
        <f t="shared" si="7"/>
        <v>0</v>
      </c>
      <c r="M63" s="453"/>
      <c r="N63" s="68"/>
      <c r="O63" s="362" t="s">
        <v>559</v>
      </c>
      <c r="P63" s="362" t="s">
        <v>560</v>
      </c>
      <c r="Q63" s="363"/>
    </row>
    <row r="64" spans="1:17" s="336" customFormat="1" ht="56.25">
      <c r="A64" s="240"/>
      <c r="B64" s="319">
        <f t="shared" si="4"/>
        <v>0</v>
      </c>
      <c r="C64" s="2"/>
      <c r="D64" s="385" t="s">
        <v>561</v>
      </c>
      <c r="E64" s="358" t="str">
        <f>Lists!C193</f>
        <v>Track, Rock, No replace, 6 m wide, Pasture</v>
      </c>
      <c r="F64" s="350"/>
      <c r="G64" s="353"/>
      <c r="H64" s="19"/>
      <c r="I64" s="362" t="s">
        <v>82</v>
      </c>
      <c r="J64" s="361">
        <v>4934.9276144669893</v>
      </c>
      <c r="K64" s="101"/>
      <c r="L64" s="356">
        <f t="shared" si="7"/>
        <v>0</v>
      </c>
      <c r="M64" s="453"/>
      <c r="N64" s="68"/>
      <c r="O64" s="362" t="s">
        <v>471</v>
      </c>
      <c r="P64" s="362" t="s">
        <v>555</v>
      </c>
      <c r="Q64" s="363"/>
    </row>
    <row r="65" spans="1:17" s="336" customFormat="1" ht="56.25">
      <c r="A65" s="240"/>
      <c r="B65" s="319">
        <f t="shared" si="4"/>
        <v>0</v>
      </c>
      <c r="C65" s="2"/>
      <c r="D65" s="385" t="s">
        <v>562</v>
      </c>
      <c r="E65" s="358" t="str">
        <f>Lists!C194</f>
        <v>Track, Rock, No replace, 6 m wide, Native</v>
      </c>
      <c r="F65" s="350"/>
      <c r="G65" s="353"/>
      <c r="H65" s="19"/>
      <c r="I65" s="362" t="s">
        <v>82</v>
      </c>
      <c r="J65" s="361">
        <v>6459.5276144669897</v>
      </c>
      <c r="K65" s="101"/>
      <c r="L65" s="356">
        <f t="shared" si="7"/>
        <v>0</v>
      </c>
      <c r="M65" s="453"/>
      <c r="N65" s="68"/>
      <c r="O65" s="362" t="s">
        <v>474</v>
      </c>
      <c r="P65" s="362" t="s">
        <v>557</v>
      </c>
      <c r="Q65" s="363"/>
    </row>
    <row r="66" spans="1:17" s="336" customFormat="1" ht="33.75">
      <c r="A66" s="240"/>
      <c r="B66" s="319">
        <f t="shared" si="4"/>
        <v>0</v>
      </c>
      <c r="C66" s="2"/>
      <c r="D66" s="385" t="s">
        <v>563</v>
      </c>
      <c r="E66" s="358" t="str">
        <f>Lists!C195</f>
        <v>Track, Rock, No replace, 6 m wide, Arid</v>
      </c>
      <c r="F66" s="350"/>
      <c r="G66" s="353"/>
      <c r="H66" s="19"/>
      <c r="I66" s="362" t="s">
        <v>82</v>
      </c>
      <c r="J66" s="361">
        <v>3941.6276144669891</v>
      </c>
      <c r="K66" s="101"/>
      <c r="L66" s="356">
        <f t="shared" si="7"/>
        <v>0</v>
      </c>
      <c r="M66" s="453"/>
      <c r="N66" s="68"/>
      <c r="O66" s="362" t="s">
        <v>559</v>
      </c>
      <c r="P66" s="362" t="s">
        <v>560</v>
      </c>
      <c r="Q66" s="363"/>
    </row>
    <row r="67" spans="1:17" s="336" customFormat="1" ht="33.75">
      <c r="A67" s="240"/>
      <c r="B67" s="319">
        <f t="shared" si="4"/>
        <v>0</v>
      </c>
      <c r="C67" s="2"/>
      <c r="D67" s="385" t="s">
        <v>564</v>
      </c>
      <c r="E67" s="358" t="str">
        <f>Lists!C196</f>
        <v>Track, Rock, Replace rock, 3 m wide, Pasture</v>
      </c>
      <c r="F67" s="350"/>
      <c r="G67" s="353"/>
      <c r="H67" s="19"/>
      <c r="I67" s="362" t="s">
        <v>82</v>
      </c>
      <c r="J67" s="361">
        <v>3778.6926342770266</v>
      </c>
      <c r="K67" s="101"/>
      <c r="L67" s="356">
        <f t="shared" si="7"/>
        <v>0</v>
      </c>
      <c r="M67" s="453"/>
      <c r="N67" s="68"/>
      <c r="O67" s="362" t="s">
        <v>471</v>
      </c>
      <c r="P67" s="362" t="s">
        <v>565</v>
      </c>
      <c r="Q67" s="363"/>
    </row>
    <row r="68" spans="1:17" s="336" customFormat="1" ht="33.75">
      <c r="A68" s="240"/>
      <c r="B68" s="319">
        <f t="shared" si="4"/>
        <v>0</v>
      </c>
      <c r="C68" s="2"/>
      <c r="D68" s="385" t="s">
        <v>566</v>
      </c>
      <c r="E68" s="358" t="str">
        <f>Lists!C197</f>
        <v>Track, Rock, Replace rock, 3 m wide, Native</v>
      </c>
      <c r="F68" s="350"/>
      <c r="G68" s="353"/>
      <c r="H68" s="19"/>
      <c r="I68" s="362" t="s">
        <v>82</v>
      </c>
      <c r="J68" s="361">
        <v>3778.6926342770266</v>
      </c>
      <c r="K68" s="101"/>
      <c r="L68" s="356">
        <f t="shared" si="7"/>
        <v>0</v>
      </c>
      <c r="M68" s="453"/>
      <c r="N68" s="68"/>
      <c r="O68" s="362" t="s">
        <v>474</v>
      </c>
      <c r="P68" s="362" t="s">
        <v>565</v>
      </c>
      <c r="Q68" s="363"/>
    </row>
    <row r="69" spans="1:17" s="336" customFormat="1" ht="33.75">
      <c r="A69" s="240"/>
      <c r="B69" s="319">
        <f t="shared" si="4"/>
        <v>0</v>
      </c>
      <c r="C69" s="2"/>
      <c r="D69" s="385" t="s">
        <v>567</v>
      </c>
      <c r="E69" s="358" t="str">
        <f>Lists!C198</f>
        <v>Track, Rock, Replace rock, 3 m wide, Arid</v>
      </c>
      <c r="F69" s="350"/>
      <c r="G69" s="353"/>
      <c r="H69" s="19"/>
      <c r="I69" s="362" t="s">
        <v>82</v>
      </c>
      <c r="J69" s="361">
        <v>3778.6926342770266</v>
      </c>
      <c r="K69" s="101"/>
      <c r="L69" s="356">
        <f t="shared" si="7"/>
        <v>0</v>
      </c>
      <c r="M69" s="453"/>
      <c r="N69" s="68"/>
      <c r="O69" s="362" t="s">
        <v>559</v>
      </c>
      <c r="P69" s="362" t="s">
        <v>565</v>
      </c>
      <c r="Q69" s="363"/>
    </row>
    <row r="70" spans="1:17" s="336" customFormat="1" ht="33.75">
      <c r="A70" s="240"/>
      <c r="B70" s="319">
        <f t="shared" si="4"/>
        <v>0</v>
      </c>
      <c r="C70" s="2"/>
      <c r="D70" s="385" t="s">
        <v>568</v>
      </c>
      <c r="E70" s="358" t="str">
        <f>Lists!C199</f>
        <v>Track, Rock, Replace rock, 6 m wide, Pasture</v>
      </c>
      <c r="F70" s="350"/>
      <c r="G70" s="353"/>
      <c r="H70" s="19"/>
      <c r="I70" s="362" t="s">
        <v>82</v>
      </c>
      <c r="J70" s="361">
        <v>7557.3852685540533</v>
      </c>
      <c r="K70" s="101"/>
      <c r="L70" s="356">
        <f t="shared" si="7"/>
        <v>0</v>
      </c>
      <c r="M70" s="453"/>
      <c r="N70" s="68"/>
      <c r="O70" s="362" t="s">
        <v>471</v>
      </c>
      <c r="P70" s="362" t="s">
        <v>565</v>
      </c>
      <c r="Q70" s="363"/>
    </row>
    <row r="71" spans="1:17" s="336" customFormat="1" ht="33.75">
      <c r="A71" s="240"/>
      <c r="B71" s="319">
        <f t="shared" si="4"/>
        <v>0</v>
      </c>
      <c r="C71" s="2"/>
      <c r="D71" s="385" t="s">
        <v>569</v>
      </c>
      <c r="E71" s="358" t="str">
        <f>Lists!C200</f>
        <v>Track, Rock, Replace rock, 6 m wide, Native</v>
      </c>
      <c r="F71" s="350"/>
      <c r="G71" s="353"/>
      <c r="H71" s="19"/>
      <c r="I71" s="362" t="s">
        <v>82</v>
      </c>
      <c r="J71" s="361">
        <v>7557.3852685540533</v>
      </c>
      <c r="K71" s="101"/>
      <c r="L71" s="356">
        <f t="shared" ref="L71:L76" si="8">IF(K71="",J71,K71)*H71</f>
        <v>0</v>
      </c>
      <c r="M71" s="453"/>
      <c r="N71" s="68"/>
      <c r="O71" s="362" t="s">
        <v>474</v>
      </c>
      <c r="P71" s="362" t="s">
        <v>565</v>
      </c>
      <c r="Q71" s="363"/>
    </row>
    <row r="72" spans="1:17" s="336" customFormat="1" ht="33.75">
      <c r="A72" s="240"/>
      <c r="B72" s="319">
        <f t="shared" si="4"/>
        <v>0</v>
      </c>
      <c r="C72" s="2"/>
      <c r="D72" s="385" t="s">
        <v>570</v>
      </c>
      <c r="E72" s="358" t="str">
        <f>Lists!C201</f>
        <v>Track, Rock, Replace rock, 6 m wide, Arid</v>
      </c>
      <c r="F72" s="350"/>
      <c r="G72" s="353"/>
      <c r="H72" s="19"/>
      <c r="I72" s="362" t="s">
        <v>82</v>
      </c>
      <c r="J72" s="361">
        <v>7557.3852685540533</v>
      </c>
      <c r="K72" s="101"/>
      <c r="L72" s="356">
        <f t="shared" si="8"/>
        <v>0</v>
      </c>
      <c r="M72" s="453"/>
      <c r="N72" s="68"/>
      <c r="O72" s="362" t="s">
        <v>559</v>
      </c>
      <c r="P72" s="362" t="s">
        <v>565</v>
      </c>
      <c r="Q72" s="363"/>
    </row>
    <row r="73" spans="1:17" s="336" customFormat="1" ht="56.25">
      <c r="A73" s="240"/>
      <c r="B73" s="319">
        <f t="shared" si="4"/>
        <v>0</v>
      </c>
      <c r="C73" s="2"/>
      <c r="D73" s="385" t="s">
        <v>571</v>
      </c>
      <c r="E73" s="358" t="str">
        <f>Lists!C227</f>
        <v>Track, Rock, No replace, Pasture</v>
      </c>
      <c r="F73" s="350"/>
      <c r="G73" s="353"/>
      <c r="H73" s="19"/>
      <c r="I73" s="362" t="s">
        <v>119</v>
      </c>
      <c r="J73" s="361">
        <v>8224.8793574449828</v>
      </c>
      <c r="K73" s="101"/>
      <c r="L73" s="356">
        <f t="shared" ref="L73:L75" si="9">IF(K73="",J73,K73)*H73</f>
        <v>0</v>
      </c>
      <c r="M73" s="453"/>
      <c r="N73" s="68"/>
      <c r="O73" s="362" t="s">
        <v>483</v>
      </c>
      <c r="P73" s="362" t="s">
        <v>555</v>
      </c>
      <c r="Q73" s="363"/>
    </row>
    <row r="74" spans="1:17" s="336" customFormat="1" ht="56.25">
      <c r="A74" s="240"/>
      <c r="B74" s="319">
        <f t="shared" si="4"/>
        <v>0</v>
      </c>
      <c r="C74" s="2"/>
      <c r="D74" s="385" t="s">
        <v>572</v>
      </c>
      <c r="E74" s="358" t="str">
        <f>Lists!C228</f>
        <v>Track, Rock, No replace, Native</v>
      </c>
      <c r="F74" s="350"/>
      <c r="G74" s="353"/>
      <c r="H74" s="19"/>
      <c r="I74" s="362" t="s">
        <v>119</v>
      </c>
      <c r="J74" s="361">
        <v>10765.879357444983</v>
      </c>
      <c r="K74" s="101"/>
      <c r="L74" s="356">
        <f t="shared" si="9"/>
        <v>0</v>
      </c>
      <c r="M74" s="453"/>
      <c r="N74" s="68"/>
      <c r="O74" s="362" t="s">
        <v>486</v>
      </c>
      <c r="P74" s="362" t="s">
        <v>557</v>
      </c>
      <c r="Q74" s="363"/>
    </row>
    <row r="75" spans="1:17" s="336" customFormat="1" ht="22.5">
      <c r="A75" s="240"/>
      <c r="B75" s="319">
        <f t="shared" si="4"/>
        <v>0</v>
      </c>
      <c r="C75" s="2"/>
      <c r="D75" s="385" t="s">
        <v>573</v>
      </c>
      <c r="E75" s="358" t="str">
        <f>Lists!C229</f>
        <v>Track, Rock, No replace, Arid</v>
      </c>
      <c r="F75" s="350"/>
      <c r="G75" s="353"/>
      <c r="H75" s="19"/>
      <c r="I75" s="362" t="s">
        <v>119</v>
      </c>
      <c r="J75" s="361">
        <v>6569.3793574449819</v>
      </c>
      <c r="K75" s="101"/>
      <c r="L75" s="356">
        <f t="shared" si="9"/>
        <v>0</v>
      </c>
      <c r="M75" s="453"/>
      <c r="N75" s="68"/>
      <c r="O75" s="362" t="s">
        <v>574</v>
      </c>
      <c r="P75" s="362" t="s">
        <v>560</v>
      </c>
      <c r="Q75" s="363"/>
    </row>
    <row r="76" spans="1:17" s="336" customFormat="1" ht="33.75">
      <c r="A76" s="240"/>
      <c r="B76" s="319">
        <f t="shared" si="4"/>
        <v>0</v>
      </c>
      <c r="C76" s="2"/>
      <c r="D76" s="385" t="s">
        <v>575</v>
      </c>
      <c r="E76" s="358" t="str">
        <f>Lists!C214</f>
        <v>Laydown, Earthen, No replace, Pasture</v>
      </c>
      <c r="F76" s="350"/>
      <c r="G76" s="353"/>
      <c r="H76" s="19"/>
      <c r="I76" s="362" t="s">
        <v>119</v>
      </c>
      <c r="J76" s="361">
        <v>2055.6594574217693</v>
      </c>
      <c r="K76" s="101"/>
      <c r="L76" s="356">
        <f t="shared" si="8"/>
        <v>0</v>
      </c>
      <c r="M76" s="453"/>
      <c r="N76" s="68"/>
      <c r="O76" s="362" t="s">
        <v>576</v>
      </c>
      <c r="P76" s="362" t="s">
        <v>577</v>
      </c>
      <c r="Q76" s="363"/>
    </row>
    <row r="77" spans="1:17" s="336" customFormat="1" ht="33.75">
      <c r="A77" s="240"/>
      <c r="B77" s="319">
        <f t="shared" si="4"/>
        <v>0</v>
      </c>
      <c r="C77" s="2"/>
      <c r="D77" s="385" t="s">
        <v>578</v>
      </c>
      <c r="E77" s="358" t="str">
        <f>Lists!C215</f>
        <v>Laydown, Earthen, No replace, Native</v>
      </c>
      <c r="F77" s="350"/>
      <c r="G77" s="353"/>
      <c r="H77" s="19"/>
      <c r="I77" s="362" t="s">
        <v>119</v>
      </c>
      <c r="J77" s="361">
        <v>4596.6594574217697</v>
      </c>
      <c r="K77" s="103"/>
      <c r="L77" s="356">
        <f t="shared" si="6"/>
        <v>0</v>
      </c>
      <c r="M77" s="453"/>
      <c r="N77" s="68"/>
      <c r="O77" s="362" t="s">
        <v>579</v>
      </c>
      <c r="P77" s="362" t="s">
        <v>577</v>
      </c>
      <c r="Q77" s="363"/>
    </row>
    <row r="78" spans="1:17" s="336" customFormat="1" ht="22.5">
      <c r="A78" s="240"/>
      <c r="B78" s="319">
        <f t="shared" si="4"/>
        <v>0</v>
      </c>
      <c r="C78" s="2"/>
      <c r="D78" s="385" t="s">
        <v>580</v>
      </c>
      <c r="E78" s="358" t="str">
        <f>Lists!C216</f>
        <v>Laydown, Earthen, No replace, Arid</v>
      </c>
      <c r="F78" s="350"/>
      <c r="G78" s="353"/>
      <c r="H78" s="19"/>
      <c r="I78" s="362" t="s">
        <v>119</v>
      </c>
      <c r="J78" s="361">
        <v>400.15945742176939</v>
      </c>
      <c r="K78" s="103"/>
      <c r="L78" s="356">
        <f t="shared" si="6"/>
        <v>0</v>
      </c>
      <c r="M78" s="453"/>
      <c r="N78" s="68"/>
      <c r="O78" s="362" t="s">
        <v>581</v>
      </c>
      <c r="P78" s="362" t="s">
        <v>582</v>
      </c>
      <c r="Q78" s="363"/>
    </row>
    <row r="79" spans="1:17" s="336" customFormat="1" ht="40.35" customHeight="1">
      <c r="A79" s="240"/>
      <c r="B79" s="319">
        <f t="shared" si="4"/>
        <v>0</v>
      </c>
      <c r="C79" s="2"/>
      <c r="D79" s="385" t="s">
        <v>583</v>
      </c>
      <c r="E79" s="358" t="str">
        <f>Lists!C217</f>
        <v>Laydown, Rock, No replace, Pasture</v>
      </c>
      <c r="F79" s="350"/>
      <c r="G79" s="353"/>
      <c r="H79" s="19"/>
      <c r="I79" s="362" t="s">
        <v>119</v>
      </c>
      <c r="J79" s="361">
        <v>8745.0881847692399</v>
      </c>
      <c r="K79" s="103"/>
      <c r="L79" s="356">
        <f t="shared" si="6"/>
        <v>0</v>
      </c>
      <c r="M79" s="453"/>
      <c r="N79" s="68"/>
      <c r="O79" s="362" t="s">
        <v>576</v>
      </c>
      <c r="P79" s="362" t="s">
        <v>584</v>
      </c>
      <c r="Q79" s="363"/>
    </row>
    <row r="80" spans="1:17" s="336" customFormat="1" ht="33.75">
      <c r="A80" s="240"/>
      <c r="B80" s="319">
        <f t="shared" si="4"/>
        <v>0</v>
      </c>
      <c r="C80" s="2"/>
      <c r="D80" s="385" t="s">
        <v>585</v>
      </c>
      <c r="E80" s="358" t="str">
        <f>Lists!C220</f>
        <v>Borrow Pit, Pasture</v>
      </c>
      <c r="F80" s="350"/>
      <c r="G80" s="353"/>
      <c r="H80" s="19"/>
      <c r="I80" s="362" t="s">
        <v>119</v>
      </c>
      <c r="J80" s="361">
        <v>9568.9339216636999</v>
      </c>
      <c r="K80" s="103"/>
      <c r="L80" s="356">
        <f t="shared" si="6"/>
        <v>0</v>
      </c>
      <c r="M80" s="453"/>
      <c r="N80" s="68"/>
      <c r="O80" s="362" t="s">
        <v>586</v>
      </c>
      <c r="P80" s="362" t="s">
        <v>587</v>
      </c>
      <c r="Q80" s="363"/>
    </row>
    <row r="81" spans="1:17" s="336" customFormat="1" ht="33.75">
      <c r="A81" s="240"/>
      <c r="B81" s="319">
        <f t="shared" si="4"/>
        <v>0</v>
      </c>
      <c r="C81" s="2"/>
      <c r="D81" s="385" t="s">
        <v>588</v>
      </c>
      <c r="E81" s="358" t="str">
        <f>Lists!C221</f>
        <v>Borrow Pit, Native</v>
      </c>
      <c r="F81" s="350"/>
      <c r="G81" s="353"/>
      <c r="H81" s="19"/>
      <c r="I81" s="362" t="s">
        <v>119</v>
      </c>
      <c r="J81" s="361">
        <v>12109.9339216637</v>
      </c>
      <c r="K81" s="103"/>
      <c r="L81" s="356">
        <f t="shared" si="6"/>
        <v>0</v>
      </c>
      <c r="M81" s="453"/>
      <c r="N81" s="68"/>
      <c r="O81" s="362" t="s">
        <v>589</v>
      </c>
      <c r="P81" s="362" t="s">
        <v>587</v>
      </c>
      <c r="Q81" s="363"/>
    </row>
    <row r="82" spans="1:17" s="336" customFormat="1" ht="33.75">
      <c r="A82" s="240"/>
      <c r="B82" s="319">
        <f t="shared" si="4"/>
        <v>0</v>
      </c>
      <c r="C82" s="2"/>
      <c r="D82" s="385" t="s">
        <v>590</v>
      </c>
      <c r="E82" s="358" t="str">
        <f>Lists!C222</f>
        <v>Borrow Pit, Arid</v>
      </c>
      <c r="F82" s="350"/>
      <c r="G82" s="353"/>
      <c r="H82" s="19"/>
      <c r="I82" s="362" t="s">
        <v>119</v>
      </c>
      <c r="J82" s="361">
        <v>6443.4053448425821</v>
      </c>
      <c r="K82" s="103"/>
      <c r="L82" s="356">
        <f t="shared" si="6"/>
        <v>0</v>
      </c>
      <c r="M82" s="452"/>
      <c r="N82" s="83"/>
      <c r="O82" s="362" t="s">
        <v>591</v>
      </c>
      <c r="P82" s="362" t="s">
        <v>587</v>
      </c>
      <c r="Q82" s="363"/>
    </row>
    <row r="83" spans="1:17" s="336" customFormat="1" ht="45">
      <c r="A83" s="240"/>
      <c r="B83" s="319">
        <f t="shared" si="4"/>
        <v>0</v>
      </c>
      <c r="C83" s="2"/>
      <c r="D83" s="385" t="s">
        <v>592</v>
      </c>
      <c r="E83" s="358" t="s">
        <v>127</v>
      </c>
      <c r="F83" s="350"/>
      <c r="G83" s="353"/>
      <c r="H83" s="19"/>
      <c r="I83" s="387" t="s">
        <v>88</v>
      </c>
      <c r="J83" s="388">
        <v>3.5857493111408396</v>
      </c>
      <c r="K83" s="103"/>
      <c r="L83" s="356">
        <f t="shared" si="6"/>
        <v>0</v>
      </c>
      <c r="M83" s="452"/>
      <c r="N83" s="83"/>
      <c r="O83" s="362" t="s">
        <v>593</v>
      </c>
      <c r="P83" s="362" t="s">
        <v>594</v>
      </c>
      <c r="Q83" s="363"/>
    </row>
    <row r="84" spans="1:17" s="336" customFormat="1">
      <c r="A84" s="240"/>
      <c r="B84" s="319">
        <f t="shared" si="4"/>
        <v>0</v>
      </c>
      <c r="C84" s="2"/>
      <c r="D84" s="385" t="s">
        <v>595</v>
      </c>
      <c r="E84" s="70" t="s">
        <v>535</v>
      </c>
      <c r="F84" s="350"/>
      <c r="G84" s="353"/>
      <c r="H84" s="19"/>
      <c r="I84" s="77"/>
      <c r="J84" s="389"/>
      <c r="K84" s="102"/>
      <c r="L84" s="386">
        <f>H84*K84</f>
        <v>0</v>
      </c>
      <c r="M84" s="452"/>
      <c r="N84" s="83"/>
      <c r="O84" s="390"/>
      <c r="P84" s="84"/>
      <c r="Q84" s="363"/>
    </row>
    <row r="85" spans="1:17" s="336" customFormat="1">
      <c r="A85" s="240"/>
      <c r="B85" s="319">
        <f t="shared" si="4"/>
        <v>0</v>
      </c>
      <c r="C85" s="71"/>
      <c r="D85" s="385" t="s">
        <v>596</v>
      </c>
      <c r="E85" s="70" t="s">
        <v>535</v>
      </c>
      <c r="F85" s="350"/>
      <c r="G85" s="353"/>
      <c r="H85" s="63"/>
      <c r="I85" s="81"/>
      <c r="J85" s="391"/>
      <c r="K85" s="104"/>
      <c r="L85" s="386">
        <f>H85*K85</f>
        <v>0</v>
      </c>
      <c r="M85" s="453"/>
      <c r="N85" s="68"/>
      <c r="O85" s="390"/>
      <c r="P85" s="70"/>
      <c r="Q85" s="363"/>
    </row>
    <row r="86" spans="1:17" s="336" customFormat="1">
      <c r="A86" s="240"/>
      <c r="B86" s="319">
        <v>1</v>
      </c>
      <c r="C86" s="370"/>
      <c r="D86" s="371"/>
      <c r="E86" s="371"/>
      <c r="F86" s="371"/>
      <c r="G86" s="371"/>
      <c r="H86" s="372"/>
      <c r="I86" s="371"/>
      <c r="J86" s="373"/>
      <c r="K86" s="374" t="s">
        <v>198</v>
      </c>
      <c r="L86" s="375">
        <f>SUBTOTAL(9,L51:L85)</f>
        <v>0</v>
      </c>
      <c r="M86" s="392"/>
      <c r="N86" s="393"/>
      <c r="O86" s="394"/>
      <c r="P86" s="395"/>
      <c r="Q86" s="339"/>
    </row>
    <row r="87" spans="1:17" s="336" customFormat="1" ht="15">
      <c r="A87" s="240"/>
      <c r="B87" s="319">
        <v>1</v>
      </c>
      <c r="C87" s="340" t="s">
        <v>597</v>
      </c>
      <c r="D87" s="341"/>
      <c r="E87" s="342"/>
      <c r="F87" s="342"/>
      <c r="G87" s="342"/>
      <c r="H87" s="380"/>
      <c r="I87" s="342"/>
      <c r="J87" s="381"/>
      <c r="K87" s="382"/>
      <c r="L87" s="383"/>
      <c r="M87" s="346"/>
      <c r="N87" s="347"/>
      <c r="O87" s="348"/>
      <c r="P87" s="349"/>
      <c r="Q87" s="339"/>
    </row>
    <row r="88" spans="1:17" s="336" customFormat="1" ht="149.65" customHeight="1">
      <c r="A88" s="240"/>
      <c r="B88" s="319">
        <f>IF(L88&gt;0,1,0)</f>
        <v>0</v>
      </c>
      <c r="C88" s="158"/>
      <c r="D88" s="384"/>
      <c r="E88" s="396" t="s">
        <v>598</v>
      </c>
      <c r="F88" s="350"/>
      <c r="G88" s="352"/>
      <c r="H88" s="397"/>
      <c r="I88" s="354" t="s">
        <v>159</v>
      </c>
      <c r="J88" s="355"/>
      <c r="K88" s="355"/>
      <c r="L88" s="356">
        <f>'Seismic and Infrastructure'!F3</f>
        <v>0</v>
      </c>
      <c r="M88" s="453"/>
      <c r="N88" s="68"/>
      <c r="O88" s="362" t="s">
        <v>599</v>
      </c>
      <c r="P88" s="362" t="s">
        <v>600</v>
      </c>
      <c r="Q88" s="339"/>
    </row>
    <row r="89" spans="1:17" s="336" customFormat="1" ht="123.75">
      <c r="A89" s="240"/>
      <c r="B89" s="319">
        <f t="shared" ref="B89:B132" si="10">IF(L89&gt;0,1,0)</f>
        <v>0</v>
      </c>
      <c r="C89" s="158"/>
      <c r="D89" s="398" t="s">
        <v>601</v>
      </c>
      <c r="E89" s="362" t="str">
        <f>Lists!C138</f>
        <v>Small temporary camp (&lt;= 50 persons)</v>
      </c>
      <c r="F89" s="350"/>
      <c r="G89" s="353"/>
      <c r="H89" s="19"/>
      <c r="I89" s="362" t="s">
        <v>88</v>
      </c>
      <c r="J89" s="361">
        <v>43.172180750756525</v>
      </c>
      <c r="K89" s="101"/>
      <c r="L89" s="356">
        <f t="shared" ref="L89:L117" si="11">IF(K89="",J89,K89)*H89</f>
        <v>0</v>
      </c>
      <c r="M89" s="453"/>
      <c r="N89" s="68"/>
      <c r="O89" s="362" t="s">
        <v>602</v>
      </c>
      <c r="P89" s="362" t="s">
        <v>603</v>
      </c>
      <c r="Q89" s="339"/>
    </row>
    <row r="90" spans="1:17" s="336" customFormat="1" ht="112.5">
      <c r="A90" s="240"/>
      <c r="B90" s="319">
        <f t="shared" si="10"/>
        <v>0</v>
      </c>
      <c r="C90" s="158"/>
      <c r="D90" s="398" t="s">
        <v>604</v>
      </c>
      <c r="E90" s="362" t="str">
        <f>Lists!C139</f>
        <v>Larger temporary camp (&gt; 50 persons)</v>
      </c>
      <c r="F90" s="350"/>
      <c r="G90" s="353"/>
      <c r="H90" s="18"/>
      <c r="I90" s="362" t="s">
        <v>88</v>
      </c>
      <c r="J90" s="361">
        <v>44.953923728874976</v>
      </c>
      <c r="K90" s="101"/>
      <c r="L90" s="356">
        <f t="shared" si="11"/>
        <v>0</v>
      </c>
      <c r="M90" s="453"/>
      <c r="N90" s="68"/>
      <c r="O90" s="362" t="s">
        <v>602</v>
      </c>
      <c r="P90" s="362" t="s">
        <v>495</v>
      </c>
      <c r="Q90" s="339"/>
    </row>
    <row r="91" spans="1:17" s="336" customFormat="1" ht="112.5">
      <c r="A91" s="240"/>
      <c r="B91" s="319">
        <f t="shared" si="10"/>
        <v>0</v>
      </c>
      <c r="C91" s="158"/>
      <c r="D91" s="398" t="s">
        <v>605</v>
      </c>
      <c r="E91" s="362" t="str">
        <f>Lists!C140</f>
        <v>Small permament camp (&lt;= 50 persons)</v>
      </c>
      <c r="F91" s="350"/>
      <c r="G91" s="353"/>
      <c r="H91" s="18"/>
      <c r="I91" s="362" t="s">
        <v>88</v>
      </c>
      <c r="J91" s="361">
        <v>38.532698846567762</v>
      </c>
      <c r="K91" s="101"/>
      <c r="L91" s="356">
        <f t="shared" si="11"/>
        <v>0</v>
      </c>
      <c r="M91" s="453"/>
      <c r="N91" s="68"/>
      <c r="O91" s="362" t="s">
        <v>602</v>
      </c>
      <c r="P91" s="362" t="s">
        <v>606</v>
      </c>
      <c r="Q91" s="339"/>
    </row>
    <row r="92" spans="1:17" s="336" customFormat="1" ht="112.5">
      <c r="A92" s="240"/>
      <c r="B92" s="319">
        <f t="shared" si="10"/>
        <v>0</v>
      </c>
      <c r="C92" s="158"/>
      <c r="D92" s="398" t="s">
        <v>607</v>
      </c>
      <c r="E92" s="362" t="str">
        <f>Lists!C141</f>
        <v>Larger permanent camp (&gt; 50 persons)</v>
      </c>
      <c r="F92" s="350"/>
      <c r="G92" s="353"/>
      <c r="H92" s="18"/>
      <c r="I92" s="362" t="s">
        <v>88</v>
      </c>
      <c r="J92" s="361">
        <v>42.372083595533468</v>
      </c>
      <c r="K92" s="101"/>
      <c r="L92" s="356">
        <f t="shared" si="11"/>
        <v>0</v>
      </c>
      <c r="M92" s="453"/>
      <c r="N92" s="68"/>
      <c r="O92" s="362" t="s">
        <v>602</v>
      </c>
      <c r="P92" s="362" t="s">
        <v>495</v>
      </c>
      <c r="Q92" s="339"/>
    </row>
    <row r="93" spans="1:17" s="336" customFormat="1" ht="135">
      <c r="A93" s="240"/>
      <c r="B93" s="319">
        <f t="shared" si="10"/>
        <v>0</v>
      </c>
      <c r="C93" s="158"/>
      <c r="D93" s="398" t="s">
        <v>608</v>
      </c>
      <c r="E93" s="362" t="str">
        <f>Assumptions!C220</f>
        <v>Temporary camp - &lt;= 20 persons</v>
      </c>
      <c r="F93" s="350"/>
      <c r="G93" s="353"/>
      <c r="H93" s="108"/>
      <c r="I93" s="362" t="s">
        <v>609</v>
      </c>
      <c r="J93" s="361">
        <v>48560.613196245446</v>
      </c>
      <c r="K93" s="101"/>
      <c r="L93" s="356">
        <f t="shared" si="11"/>
        <v>0</v>
      </c>
      <c r="M93" s="453"/>
      <c r="N93" s="68"/>
      <c r="O93" s="362" t="s">
        <v>610</v>
      </c>
      <c r="P93" s="362" t="s">
        <v>611</v>
      </c>
      <c r="Q93" s="339"/>
    </row>
    <row r="94" spans="1:17" s="336" customFormat="1" ht="22.5">
      <c r="A94" s="240"/>
      <c r="B94" s="319">
        <f t="shared" si="10"/>
        <v>0</v>
      </c>
      <c r="C94" s="158"/>
      <c r="D94" s="398" t="s">
        <v>612</v>
      </c>
      <c r="E94" s="362" t="str">
        <f>Assumptions!C221</f>
        <v>Temporary camp - &gt; 20 and &lt;= 50 persons</v>
      </c>
      <c r="F94" s="350"/>
      <c r="G94" s="353"/>
      <c r="H94" s="108"/>
      <c r="I94" s="362" t="s">
        <v>609</v>
      </c>
      <c r="J94" s="361">
        <v>68759.122094957042</v>
      </c>
      <c r="K94" s="101"/>
      <c r="L94" s="356">
        <f t="shared" si="11"/>
        <v>0</v>
      </c>
      <c r="M94" s="453"/>
      <c r="N94" s="68"/>
      <c r="O94" s="362" t="s">
        <v>610</v>
      </c>
      <c r="P94" s="362" t="s">
        <v>495</v>
      </c>
      <c r="Q94" s="339"/>
    </row>
    <row r="95" spans="1:17" s="336" customFormat="1" ht="22.5">
      <c r="A95" s="240"/>
      <c r="B95" s="319">
        <f t="shared" si="10"/>
        <v>0</v>
      </c>
      <c r="C95" s="158"/>
      <c r="D95" s="398" t="s">
        <v>613</v>
      </c>
      <c r="E95" s="362" t="str">
        <f>Assumptions!C222</f>
        <v>Temporary camp - &gt; 50 and &lt;= 100 persons</v>
      </c>
      <c r="F95" s="350"/>
      <c r="G95" s="353"/>
      <c r="H95" s="108"/>
      <c r="I95" s="362" t="s">
        <v>609</v>
      </c>
      <c r="J95" s="361">
        <v>99664.926953144924</v>
      </c>
      <c r="K95" s="101"/>
      <c r="L95" s="356">
        <f t="shared" si="11"/>
        <v>0</v>
      </c>
      <c r="M95" s="453"/>
      <c r="N95" s="68"/>
      <c r="O95" s="362" t="s">
        <v>610</v>
      </c>
      <c r="P95" s="362" t="s">
        <v>495</v>
      </c>
      <c r="Q95" s="339"/>
    </row>
    <row r="96" spans="1:17" s="336" customFormat="1" ht="22.5">
      <c r="A96" s="240"/>
      <c r="B96" s="319">
        <f t="shared" si="10"/>
        <v>0</v>
      </c>
      <c r="C96" s="158"/>
      <c r="D96" s="398" t="s">
        <v>614</v>
      </c>
      <c r="E96" s="362" t="str">
        <f>Assumptions!C223</f>
        <v>Temporary camp - &gt; 100 and &lt;= 150 persons</v>
      </c>
      <c r="F96" s="350"/>
      <c r="G96" s="353"/>
      <c r="H96" s="108"/>
      <c r="I96" s="362" t="s">
        <v>609</v>
      </c>
      <c r="J96" s="361">
        <v>145212.98871722168</v>
      </c>
      <c r="K96" s="101"/>
      <c r="L96" s="356">
        <f t="shared" si="11"/>
        <v>0</v>
      </c>
      <c r="M96" s="453"/>
      <c r="N96" s="68"/>
      <c r="O96" s="362" t="s">
        <v>610</v>
      </c>
      <c r="P96" s="362" t="s">
        <v>495</v>
      </c>
      <c r="Q96" s="339"/>
    </row>
    <row r="97" spans="1:17" s="336" customFormat="1" ht="22.5">
      <c r="A97" s="240"/>
      <c r="B97" s="319">
        <f t="shared" si="10"/>
        <v>0</v>
      </c>
      <c r="C97" s="158"/>
      <c r="D97" s="398" t="s">
        <v>615</v>
      </c>
      <c r="E97" s="362" t="str">
        <f>Assumptions!C224</f>
        <v>Temporary camp - &gt; 150 and &lt;= 200 persons</v>
      </c>
      <c r="F97" s="350"/>
      <c r="G97" s="353"/>
      <c r="H97" s="108"/>
      <c r="I97" s="362" t="s">
        <v>609</v>
      </c>
      <c r="J97" s="361">
        <v>176774.80499297901</v>
      </c>
      <c r="K97" s="101"/>
      <c r="L97" s="356">
        <f t="shared" si="11"/>
        <v>0</v>
      </c>
      <c r="M97" s="453"/>
      <c r="N97" s="68"/>
      <c r="O97" s="362" t="s">
        <v>610</v>
      </c>
      <c r="P97" s="362" t="s">
        <v>495</v>
      </c>
      <c r="Q97" s="339"/>
    </row>
    <row r="98" spans="1:17" s="336" customFormat="1" ht="22.5">
      <c r="A98" s="240"/>
      <c r="B98" s="319">
        <f t="shared" si="10"/>
        <v>0</v>
      </c>
      <c r="C98" s="158"/>
      <c r="D98" s="398" t="s">
        <v>616</v>
      </c>
      <c r="E98" s="362" t="str">
        <f>Assumptions!C225</f>
        <v>Temporary camp - &gt; 200 and &lt;= 250 persons</v>
      </c>
      <c r="F98" s="350"/>
      <c r="G98" s="353"/>
      <c r="H98" s="108"/>
      <c r="I98" s="362" t="s">
        <v>609</v>
      </c>
      <c r="J98" s="361">
        <v>244877.91567036664</v>
      </c>
      <c r="K98" s="101"/>
      <c r="L98" s="356">
        <f t="shared" si="11"/>
        <v>0</v>
      </c>
      <c r="M98" s="453"/>
      <c r="N98" s="68"/>
      <c r="O98" s="362" t="s">
        <v>610</v>
      </c>
      <c r="P98" s="362" t="s">
        <v>495</v>
      </c>
      <c r="Q98" s="339"/>
    </row>
    <row r="99" spans="1:17" s="336" customFormat="1" ht="22.5">
      <c r="A99" s="240"/>
      <c r="B99" s="319">
        <f t="shared" si="10"/>
        <v>0</v>
      </c>
      <c r="C99" s="158"/>
      <c r="D99" s="398" t="s">
        <v>617</v>
      </c>
      <c r="E99" s="362" t="str">
        <f>Assumptions!C226</f>
        <v>Temporary camp - &gt; 250 and &lt;= 300 persons</v>
      </c>
      <c r="F99" s="350"/>
      <c r="G99" s="353"/>
      <c r="H99" s="108"/>
      <c r="I99" s="362" t="s">
        <v>609</v>
      </c>
      <c r="J99" s="361">
        <v>275350.79497334873</v>
      </c>
      <c r="K99" s="101"/>
      <c r="L99" s="356">
        <f t="shared" si="11"/>
        <v>0</v>
      </c>
      <c r="M99" s="453"/>
      <c r="N99" s="68"/>
      <c r="O99" s="362" t="s">
        <v>610</v>
      </c>
      <c r="P99" s="362" t="s">
        <v>495</v>
      </c>
      <c r="Q99" s="339"/>
    </row>
    <row r="100" spans="1:17" s="336" customFormat="1" ht="22.5">
      <c r="A100" s="240"/>
      <c r="B100" s="319">
        <f t="shared" si="10"/>
        <v>0</v>
      </c>
      <c r="C100" s="158"/>
      <c r="D100" s="398" t="s">
        <v>618</v>
      </c>
      <c r="E100" s="362" t="str">
        <f>Assumptions!C227</f>
        <v>Temporary camp - &gt; 300 and &lt;= 400 persons</v>
      </c>
      <c r="F100" s="350"/>
      <c r="G100" s="353"/>
      <c r="H100" s="108"/>
      <c r="I100" s="362" t="s">
        <v>609</v>
      </c>
      <c r="J100" s="361">
        <v>339187.51150682365</v>
      </c>
      <c r="K100" s="101"/>
      <c r="L100" s="356">
        <f t="shared" si="11"/>
        <v>0</v>
      </c>
      <c r="M100" s="453"/>
      <c r="N100" s="68"/>
      <c r="O100" s="362" t="s">
        <v>610</v>
      </c>
      <c r="P100" s="362" t="s">
        <v>495</v>
      </c>
      <c r="Q100" s="339"/>
    </row>
    <row r="101" spans="1:17" s="336" customFormat="1" ht="22.5">
      <c r="A101" s="240"/>
      <c r="B101" s="319">
        <f t="shared" si="10"/>
        <v>0</v>
      </c>
      <c r="C101" s="158"/>
      <c r="D101" s="398" t="s">
        <v>619</v>
      </c>
      <c r="E101" s="362" t="str">
        <f>Assumptions!C228</f>
        <v>Temporary camp - &gt; 400 and &lt;= 500 persons</v>
      </c>
      <c r="F101" s="350"/>
      <c r="G101" s="353"/>
      <c r="H101" s="108"/>
      <c r="I101" s="362" t="s">
        <v>609</v>
      </c>
      <c r="J101" s="361">
        <v>437763.5014871934</v>
      </c>
      <c r="K101" s="101"/>
      <c r="L101" s="356">
        <f t="shared" si="11"/>
        <v>0</v>
      </c>
      <c r="M101" s="453"/>
      <c r="N101" s="68"/>
      <c r="O101" s="362" t="s">
        <v>610</v>
      </c>
      <c r="P101" s="362" t="s">
        <v>495</v>
      </c>
      <c r="Q101" s="339"/>
    </row>
    <row r="102" spans="1:17" s="336" customFormat="1" ht="22.5">
      <c r="A102" s="240"/>
      <c r="B102" s="319">
        <f t="shared" si="10"/>
        <v>0</v>
      </c>
      <c r="C102" s="158"/>
      <c r="D102" s="398" t="s">
        <v>620</v>
      </c>
      <c r="E102" s="362" t="str">
        <f>Assumptions!C229</f>
        <v>Temporary camp - &gt; 500 and &lt;= 750 persons</v>
      </c>
      <c r="F102" s="350"/>
      <c r="G102" s="353"/>
      <c r="H102" s="108"/>
      <c r="I102" s="362" t="s">
        <v>609</v>
      </c>
      <c r="J102" s="361">
        <v>633188.49391260196</v>
      </c>
      <c r="K102" s="101"/>
      <c r="L102" s="356">
        <f t="shared" si="11"/>
        <v>0</v>
      </c>
      <c r="M102" s="453"/>
      <c r="N102" s="68"/>
      <c r="O102" s="362" t="s">
        <v>610</v>
      </c>
      <c r="P102" s="362" t="s">
        <v>495</v>
      </c>
      <c r="Q102" s="339"/>
    </row>
    <row r="103" spans="1:17" s="336" customFormat="1" ht="22.5">
      <c r="A103" s="240"/>
      <c r="B103" s="319">
        <f t="shared" si="10"/>
        <v>0</v>
      </c>
      <c r="C103" s="158"/>
      <c r="D103" s="398" t="s">
        <v>621</v>
      </c>
      <c r="E103" s="362" t="str">
        <f>Assumptions!C230</f>
        <v>Temporary camp - &gt; 750 and &lt;= 1000 persons</v>
      </c>
      <c r="F103" s="350"/>
      <c r="G103" s="353"/>
      <c r="H103" s="108"/>
      <c r="I103" s="362" t="s">
        <v>609</v>
      </c>
      <c r="J103" s="361">
        <v>826425.63104835781</v>
      </c>
      <c r="K103" s="101"/>
      <c r="L103" s="356">
        <f t="shared" si="11"/>
        <v>0</v>
      </c>
      <c r="M103" s="453"/>
      <c r="N103" s="68"/>
      <c r="O103" s="362" t="s">
        <v>610</v>
      </c>
      <c r="P103" s="362" t="s">
        <v>495</v>
      </c>
      <c r="Q103" s="339"/>
    </row>
    <row r="104" spans="1:17" s="336" customFormat="1" ht="22.5">
      <c r="A104" s="240"/>
      <c r="B104" s="319">
        <f t="shared" si="10"/>
        <v>0</v>
      </c>
      <c r="C104" s="158"/>
      <c r="D104" s="398" t="s">
        <v>622</v>
      </c>
      <c r="E104" s="362" t="str">
        <f>Assumptions!C231</f>
        <v>Temporary camp - &gt; 1000 and &lt;= 2000 persons</v>
      </c>
      <c r="F104" s="350"/>
      <c r="G104" s="353"/>
      <c r="H104" s="108"/>
      <c r="I104" s="362" t="s">
        <v>609</v>
      </c>
      <c r="J104" s="361">
        <v>1639226.5492714276</v>
      </c>
      <c r="K104" s="101"/>
      <c r="L104" s="356">
        <f t="shared" si="11"/>
        <v>0</v>
      </c>
      <c r="M104" s="453"/>
      <c r="N104" s="68"/>
      <c r="O104" s="362" t="s">
        <v>610</v>
      </c>
      <c r="P104" s="362" t="s">
        <v>495</v>
      </c>
      <c r="Q104" s="339"/>
    </row>
    <row r="105" spans="1:17" s="336" customFormat="1" ht="22.5">
      <c r="A105" s="240"/>
      <c r="B105" s="319">
        <f t="shared" si="10"/>
        <v>0</v>
      </c>
      <c r="C105" s="158"/>
      <c r="D105" s="398" t="s">
        <v>623</v>
      </c>
      <c r="E105" s="362" t="str">
        <f>Assumptions!C232</f>
        <v>Temporary camp - &gt; 2000 and &lt;= 3000 persons</v>
      </c>
      <c r="F105" s="350"/>
      <c r="G105" s="353"/>
      <c r="H105" s="108"/>
      <c r="I105" s="362" t="s">
        <v>609</v>
      </c>
      <c r="J105" s="361">
        <v>2451290.0818406511</v>
      </c>
      <c r="K105" s="101"/>
      <c r="L105" s="356">
        <f t="shared" si="11"/>
        <v>0</v>
      </c>
      <c r="M105" s="453"/>
      <c r="N105" s="68"/>
      <c r="O105" s="362" t="s">
        <v>610</v>
      </c>
      <c r="P105" s="362" t="s">
        <v>495</v>
      </c>
      <c r="Q105" s="339"/>
    </row>
    <row r="106" spans="1:17" s="336" customFormat="1" ht="22.5">
      <c r="A106" s="240"/>
      <c r="B106" s="319">
        <f t="shared" si="10"/>
        <v>0</v>
      </c>
      <c r="C106" s="158"/>
      <c r="D106" s="398" t="s">
        <v>624</v>
      </c>
      <c r="E106" s="362" t="str">
        <f>Assumptions!C233</f>
        <v>Temporary camp - &gt; 3000 and &lt;= 4000 persons</v>
      </c>
      <c r="F106" s="350"/>
      <c r="G106" s="353"/>
      <c r="H106" s="108"/>
      <c r="I106" s="362" t="s">
        <v>609</v>
      </c>
      <c r="J106" s="361">
        <v>3264091.0000637202</v>
      </c>
      <c r="K106" s="101"/>
      <c r="L106" s="356">
        <f t="shared" si="11"/>
        <v>0</v>
      </c>
      <c r="M106" s="453"/>
      <c r="N106" s="68"/>
      <c r="O106" s="362" t="s">
        <v>610</v>
      </c>
      <c r="P106" s="362" t="s">
        <v>495</v>
      </c>
      <c r="Q106" s="339"/>
    </row>
    <row r="107" spans="1:17" s="336" customFormat="1" ht="22.5">
      <c r="A107" s="240"/>
      <c r="B107" s="319">
        <f t="shared" si="10"/>
        <v>0</v>
      </c>
      <c r="C107" s="158"/>
      <c r="D107" s="398" t="s">
        <v>625</v>
      </c>
      <c r="E107" s="362" t="str">
        <f>Assumptions!C234</f>
        <v>Temporary camp - &gt; 4000 and &lt;= 5000 persons</v>
      </c>
      <c r="F107" s="350"/>
      <c r="G107" s="353"/>
      <c r="H107" s="108"/>
      <c r="I107" s="362" t="s">
        <v>609</v>
      </c>
      <c r="J107" s="361">
        <v>4076506.0839518728</v>
      </c>
      <c r="K107" s="101"/>
      <c r="L107" s="356">
        <f t="shared" si="11"/>
        <v>0</v>
      </c>
      <c r="M107" s="453"/>
      <c r="N107" s="68"/>
      <c r="O107" s="362" t="s">
        <v>610</v>
      </c>
      <c r="P107" s="362" t="s">
        <v>495</v>
      </c>
      <c r="Q107" s="339"/>
    </row>
    <row r="108" spans="1:17" s="336" customFormat="1" ht="157.5">
      <c r="A108" s="240"/>
      <c r="B108" s="319">
        <f t="shared" si="10"/>
        <v>0</v>
      </c>
      <c r="C108" s="158"/>
      <c r="D108" s="398" t="s">
        <v>626</v>
      </c>
      <c r="E108" s="362" t="str">
        <f>Assumptions!C235</f>
        <v>Permanent camp - &gt; 0 and &lt;= 20 persons</v>
      </c>
      <c r="F108" s="350"/>
      <c r="G108" s="353"/>
      <c r="H108" s="108"/>
      <c r="I108" s="362" t="s">
        <v>609</v>
      </c>
      <c r="J108" s="361">
        <v>67211.71401376641</v>
      </c>
      <c r="K108" s="101"/>
      <c r="L108" s="356">
        <f t="shared" si="11"/>
        <v>0</v>
      </c>
      <c r="M108" s="453"/>
      <c r="N108" s="68"/>
      <c r="O108" s="362" t="s">
        <v>610</v>
      </c>
      <c r="P108" s="362" t="s">
        <v>627</v>
      </c>
      <c r="Q108" s="339"/>
    </row>
    <row r="109" spans="1:17" s="336" customFormat="1" ht="22.5">
      <c r="A109" s="240"/>
      <c r="B109" s="319">
        <f t="shared" si="10"/>
        <v>0</v>
      </c>
      <c r="C109" s="158"/>
      <c r="D109" s="398" t="s">
        <v>628</v>
      </c>
      <c r="E109" s="362" t="str">
        <f>Assumptions!C236</f>
        <v>Permanent camp - &gt; 20 and &lt;= 50 persons</v>
      </c>
      <c r="F109" s="350"/>
      <c r="G109" s="353"/>
      <c r="H109" s="108"/>
      <c r="I109" s="362" t="s">
        <v>609</v>
      </c>
      <c r="J109" s="361">
        <v>109876.14661474548</v>
      </c>
      <c r="K109" s="101"/>
      <c r="L109" s="356">
        <f t="shared" si="11"/>
        <v>0</v>
      </c>
      <c r="M109" s="453"/>
      <c r="N109" s="68"/>
      <c r="O109" s="362" t="s">
        <v>610</v>
      </c>
      <c r="P109" s="362" t="s">
        <v>495</v>
      </c>
      <c r="Q109" s="339"/>
    </row>
    <row r="110" spans="1:17" s="336" customFormat="1" ht="22.5">
      <c r="A110" s="240"/>
      <c r="B110" s="319">
        <f t="shared" si="10"/>
        <v>0</v>
      </c>
      <c r="C110" s="158"/>
      <c r="D110" s="398" t="s">
        <v>629</v>
      </c>
      <c r="E110" s="362" t="str">
        <f>Assumptions!C237</f>
        <v>Permanent camp - &gt; 50 and &lt;= 100 persons</v>
      </c>
      <c r="F110" s="350"/>
      <c r="G110" s="353"/>
      <c r="H110" s="108"/>
      <c r="I110" s="362" t="s">
        <v>609</v>
      </c>
      <c r="J110" s="361">
        <v>193037.06658807956</v>
      </c>
      <c r="K110" s="101"/>
      <c r="L110" s="356">
        <f t="shared" si="11"/>
        <v>0</v>
      </c>
      <c r="M110" s="453"/>
      <c r="N110" s="68"/>
      <c r="O110" s="362" t="s">
        <v>610</v>
      </c>
      <c r="P110" s="362" t="s">
        <v>495</v>
      </c>
      <c r="Q110" s="339"/>
    </row>
    <row r="111" spans="1:17" s="336" customFormat="1" ht="22.5">
      <c r="A111" s="240"/>
      <c r="B111" s="319">
        <f t="shared" si="10"/>
        <v>0</v>
      </c>
      <c r="C111" s="158"/>
      <c r="D111" s="398" t="s">
        <v>630</v>
      </c>
      <c r="E111" s="362" t="str">
        <f>Assumptions!C238</f>
        <v>Permanent camp - &gt; 100 and &lt;= 150 persons</v>
      </c>
      <c r="F111" s="350"/>
      <c r="G111" s="353"/>
      <c r="H111" s="108"/>
      <c r="I111" s="362" t="s">
        <v>609</v>
      </c>
      <c r="J111" s="361">
        <v>262662.53417421656</v>
      </c>
      <c r="K111" s="101"/>
      <c r="L111" s="356">
        <f t="shared" si="11"/>
        <v>0</v>
      </c>
      <c r="M111" s="453"/>
      <c r="N111" s="68"/>
      <c r="O111" s="362" t="s">
        <v>610</v>
      </c>
      <c r="P111" s="362" t="s">
        <v>495</v>
      </c>
      <c r="Q111" s="339"/>
    </row>
    <row r="112" spans="1:17" s="336" customFormat="1" ht="22.5">
      <c r="A112" s="240"/>
      <c r="B112" s="319">
        <f t="shared" si="10"/>
        <v>0</v>
      </c>
      <c r="C112" s="158"/>
      <c r="D112" s="398" t="s">
        <v>631</v>
      </c>
      <c r="E112" s="362" t="str">
        <f>Assumptions!C239</f>
        <v>Permanent camp - &gt; 150 and &lt;= 200 persons</v>
      </c>
      <c r="F112" s="350"/>
      <c r="G112" s="353"/>
      <c r="H112" s="108"/>
      <c r="I112" s="362" t="s">
        <v>609</v>
      </c>
      <c r="J112" s="361">
        <v>351273.10332200892</v>
      </c>
      <c r="K112" s="101"/>
      <c r="L112" s="356">
        <f t="shared" si="11"/>
        <v>0</v>
      </c>
      <c r="M112" s="453"/>
      <c r="N112" s="68"/>
      <c r="O112" s="362" t="s">
        <v>610</v>
      </c>
      <c r="P112" s="362" t="s">
        <v>495</v>
      </c>
      <c r="Q112" s="339"/>
    </row>
    <row r="113" spans="1:17" s="336" customFormat="1" ht="22.5">
      <c r="A113" s="240"/>
      <c r="B113" s="319">
        <f t="shared" si="10"/>
        <v>0</v>
      </c>
      <c r="C113" s="158"/>
      <c r="D113" s="398" t="s">
        <v>632</v>
      </c>
      <c r="E113" s="362" t="str">
        <f>Assumptions!C240</f>
        <v>Permanent camp - &gt; 200 and &lt;= 250 persons</v>
      </c>
      <c r="F113" s="350"/>
      <c r="G113" s="353"/>
      <c r="H113" s="108"/>
      <c r="I113" s="362" t="s">
        <v>609</v>
      </c>
      <c r="J113" s="361">
        <v>461857.44092275418</v>
      </c>
      <c r="K113" s="101"/>
      <c r="L113" s="356">
        <f t="shared" si="11"/>
        <v>0</v>
      </c>
      <c r="M113" s="453"/>
      <c r="N113" s="68"/>
      <c r="O113" s="362" t="s">
        <v>610</v>
      </c>
      <c r="P113" s="362" t="s">
        <v>495</v>
      </c>
      <c r="Q113" s="339"/>
    </row>
    <row r="114" spans="1:17" s="336" customFormat="1" ht="22.5">
      <c r="A114" s="240"/>
      <c r="B114" s="319">
        <f t="shared" si="10"/>
        <v>0</v>
      </c>
      <c r="C114" s="158"/>
      <c r="D114" s="398" t="s">
        <v>633</v>
      </c>
      <c r="E114" s="362" t="str">
        <f>Assumptions!C241</f>
        <v>Permanent camp - &gt; 250 and &lt;= 300 persons</v>
      </c>
      <c r="F114" s="350"/>
      <c r="G114" s="353"/>
      <c r="H114" s="108"/>
      <c r="I114" s="362" t="s">
        <v>609</v>
      </c>
      <c r="J114" s="361">
        <v>515066.39999398153</v>
      </c>
      <c r="K114" s="101"/>
      <c r="L114" s="356">
        <f t="shared" si="11"/>
        <v>0</v>
      </c>
      <c r="M114" s="453"/>
      <c r="N114" s="68"/>
      <c r="O114" s="362" t="s">
        <v>610</v>
      </c>
      <c r="P114" s="362" t="s">
        <v>495</v>
      </c>
      <c r="Q114" s="339"/>
    </row>
    <row r="115" spans="1:17" s="336" customFormat="1" ht="22.5">
      <c r="A115" s="240"/>
      <c r="B115" s="319">
        <f t="shared" si="10"/>
        <v>0</v>
      </c>
      <c r="C115" s="158"/>
      <c r="D115" s="398" t="s">
        <v>634</v>
      </c>
      <c r="E115" s="362" t="str">
        <f>Assumptions!C242</f>
        <v>Permanent camp - &gt; 300 and &lt;= 400 persons</v>
      </c>
      <c r="F115" s="350"/>
      <c r="G115" s="353"/>
      <c r="H115" s="108"/>
      <c r="I115" s="362" t="s">
        <v>609</v>
      </c>
      <c r="J115" s="361">
        <v>643792.23170149617</v>
      </c>
      <c r="K115" s="101"/>
      <c r="L115" s="356">
        <f t="shared" si="11"/>
        <v>0</v>
      </c>
      <c r="M115" s="453"/>
      <c r="N115" s="68"/>
      <c r="O115" s="362" t="s">
        <v>610</v>
      </c>
      <c r="P115" s="362" t="s">
        <v>495</v>
      </c>
      <c r="Q115" s="339"/>
    </row>
    <row r="116" spans="1:17" s="336" customFormat="1" ht="22.5">
      <c r="A116" s="240"/>
      <c r="B116" s="319">
        <f t="shared" si="10"/>
        <v>0</v>
      </c>
      <c r="C116" s="158"/>
      <c r="D116" s="398" t="s">
        <v>635</v>
      </c>
      <c r="E116" s="362" t="str">
        <f>Assumptions!C243</f>
        <v>Permanent camp - &gt; 400 and &lt;= 500 persons</v>
      </c>
      <c r="F116" s="350"/>
      <c r="G116" s="353"/>
      <c r="H116" s="108"/>
      <c r="I116" s="362" t="s">
        <v>609</v>
      </c>
      <c r="J116" s="361">
        <v>806867.42518056789</v>
      </c>
      <c r="K116" s="101"/>
      <c r="L116" s="356">
        <f t="shared" si="11"/>
        <v>0</v>
      </c>
      <c r="M116" s="453"/>
      <c r="N116" s="68"/>
      <c r="O116" s="362" t="s">
        <v>610</v>
      </c>
      <c r="P116" s="362" t="s">
        <v>495</v>
      </c>
      <c r="Q116" s="339"/>
    </row>
    <row r="117" spans="1:17" s="336" customFormat="1" ht="22.5">
      <c r="A117" s="240"/>
      <c r="B117" s="319">
        <f t="shared" si="10"/>
        <v>0</v>
      </c>
      <c r="C117" s="158"/>
      <c r="D117" s="398" t="s">
        <v>636</v>
      </c>
      <c r="E117" s="362" t="str">
        <f>Assumptions!C244</f>
        <v>Permanent camp - &gt; 500 and &lt;= 750 persons</v>
      </c>
      <c r="F117" s="350"/>
      <c r="G117" s="353"/>
      <c r="H117" s="108"/>
      <c r="I117" s="362" t="s">
        <v>609</v>
      </c>
      <c r="J117" s="361">
        <v>1003637.109955229</v>
      </c>
      <c r="K117" s="101"/>
      <c r="L117" s="356">
        <f t="shared" si="11"/>
        <v>0</v>
      </c>
      <c r="M117" s="453"/>
      <c r="N117" s="68"/>
      <c r="O117" s="362" t="s">
        <v>610</v>
      </c>
      <c r="P117" s="362" t="s">
        <v>495</v>
      </c>
      <c r="Q117" s="339"/>
    </row>
    <row r="118" spans="1:17" s="336" customFormat="1" ht="22.5">
      <c r="A118" s="240"/>
      <c r="B118" s="319">
        <f t="shared" si="10"/>
        <v>0</v>
      </c>
      <c r="C118" s="158"/>
      <c r="D118" s="398" t="s">
        <v>637</v>
      </c>
      <c r="E118" s="362" t="str">
        <f>Assumptions!C245</f>
        <v>Permanent camp - &gt; 750 and &lt;= 1000 persons</v>
      </c>
      <c r="F118" s="350"/>
      <c r="G118" s="353"/>
      <c r="H118" s="108"/>
      <c r="I118" s="362" t="s">
        <v>609</v>
      </c>
      <c r="J118" s="361">
        <v>1314748.2189516015</v>
      </c>
      <c r="K118" s="101"/>
      <c r="L118" s="356">
        <f t="shared" ref="L118:L130" si="12">IF(K118="",J118,K118)*H118</f>
        <v>0</v>
      </c>
      <c r="M118" s="453"/>
      <c r="N118" s="68"/>
      <c r="O118" s="362" t="s">
        <v>610</v>
      </c>
      <c r="P118" s="362" t="s">
        <v>495</v>
      </c>
      <c r="Q118" s="339"/>
    </row>
    <row r="119" spans="1:17" s="336" customFormat="1" ht="22.5">
      <c r="A119" s="240"/>
      <c r="B119" s="319">
        <f t="shared" si="10"/>
        <v>0</v>
      </c>
      <c r="C119" s="158"/>
      <c r="D119" s="398" t="s">
        <v>638</v>
      </c>
      <c r="E119" s="362" t="str">
        <f>Assumptions!C246</f>
        <v>Permanent camp - &gt; 1000 and &lt;= 2000 persons</v>
      </c>
      <c r="F119" s="350"/>
      <c r="G119" s="353"/>
      <c r="H119" s="108"/>
      <c r="I119" s="362" t="s">
        <v>609</v>
      </c>
      <c r="J119" s="361">
        <v>2521210.6387668406</v>
      </c>
      <c r="K119" s="101"/>
      <c r="L119" s="356">
        <f t="shared" si="12"/>
        <v>0</v>
      </c>
      <c r="M119" s="453"/>
      <c r="N119" s="68"/>
      <c r="O119" s="362" t="s">
        <v>610</v>
      </c>
      <c r="P119" s="362" t="s">
        <v>495</v>
      </c>
      <c r="Q119" s="339"/>
    </row>
    <row r="120" spans="1:17" s="336" customFormat="1" ht="22.5">
      <c r="A120" s="240"/>
      <c r="B120" s="319">
        <f t="shared" si="10"/>
        <v>0</v>
      </c>
      <c r="C120" s="158"/>
      <c r="D120" s="398" t="s">
        <v>639</v>
      </c>
      <c r="E120" s="362" t="str">
        <f>Assumptions!C247</f>
        <v>Permanent camp - &gt; 2000 and &lt;= 3000 persons</v>
      </c>
      <c r="F120" s="350"/>
      <c r="G120" s="353"/>
      <c r="H120" s="108"/>
      <c r="I120" s="362" t="s">
        <v>609</v>
      </c>
      <c r="J120" s="361">
        <v>3741989.0485619698</v>
      </c>
      <c r="K120" s="101"/>
      <c r="L120" s="356">
        <f t="shared" si="12"/>
        <v>0</v>
      </c>
      <c r="M120" s="453"/>
      <c r="N120" s="68"/>
      <c r="O120" s="362" t="s">
        <v>610</v>
      </c>
      <c r="P120" s="362" t="s">
        <v>495</v>
      </c>
      <c r="Q120" s="339"/>
    </row>
    <row r="121" spans="1:17" s="336" customFormat="1" ht="22.5">
      <c r="A121" s="240"/>
      <c r="B121" s="319">
        <f t="shared" si="10"/>
        <v>0</v>
      </c>
      <c r="C121" s="158"/>
      <c r="D121" s="398" t="s">
        <v>640</v>
      </c>
      <c r="E121" s="362" t="str">
        <f>Assumptions!C248</f>
        <v>Permanent camp - &gt; 3000 and &lt;= 4000 persons</v>
      </c>
      <c r="F121" s="350"/>
      <c r="G121" s="353"/>
      <c r="H121" s="108"/>
      <c r="I121" s="362" t="s">
        <v>609</v>
      </c>
      <c r="J121" s="361">
        <v>4961645.1177625712</v>
      </c>
      <c r="K121" s="101"/>
      <c r="L121" s="356">
        <f t="shared" si="12"/>
        <v>0</v>
      </c>
      <c r="M121" s="453"/>
      <c r="N121" s="68"/>
      <c r="O121" s="362" t="s">
        <v>610</v>
      </c>
      <c r="P121" s="362" t="s">
        <v>495</v>
      </c>
      <c r="Q121" s="339"/>
    </row>
    <row r="122" spans="1:17" s="336" customFormat="1" ht="22.5">
      <c r="A122" s="240"/>
      <c r="B122" s="319">
        <f t="shared" si="10"/>
        <v>0</v>
      </c>
      <c r="C122" s="158"/>
      <c r="D122" s="398" t="s">
        <v>641</v>
      </c>
      <c r="E122" s="362" t="str">
        <f>Assumptions!C249</f>
        <v>Permanent camp - &gt; 4000 and &lt;= 5000 persons</v>
      </c>
      <c r="F122" s="350"/>
      <c r="G122" s="353"/>
      <c r="H122" s="108"/>
      <c r="I122" s="362" t="s">
        <v>609</v>
      </c>
      <c r="J122" s="399">
        <v>6168107.5375778107</v>
      </c>
      <c r="K122" s="101"/>
      <c r="L122" s="356">
        <f t="shared" si="12"/>
        <v>0</v>
      </c>
      <c r="M122" s="453"/>
      <c r="N122" s="68"/>
      <c r="O122" s="362" t="s">
        <v>610</v>
      </c>
      <c r="P122" s="362" t="s">
        <v>495</v>
      </c>
      <c r="Q122" s="339"/>
    </row>
    <row r="123" spans="1:17" s="336" customFormat="1" ht="123.75">
      <c r="A123" s="240"/>
      <c r="B123" s="319">
        <f t="shared" si="10"/>
        <v>0</v>
      </c>
      <c r="C123" s="158"/>
      <c r="D123" s="398" t="s">
        <v>642</v>
      </c>
      <c r="E123" s="362" t="str">
        <f>Lists!C176</f>
        <v>Small, Brick wall, Steel roof, Concrete floor, 1 floors</v>
      </c>
      <c r="F123" s="350"/>
      <c r="G123" s="350"/>
      <c r="H123" s="18"/>
      <c r="I123" s="362" t="s">
        <v>88</v>
      </c>
      <c r="J123" s="399">
        <v>119.70009858163799</v>
      </c>
      <c r="K123" s="101"/>
      <c r="L123" s="356">
        <f t="shared" si="12"/>
        <v>0</v>
      </c>
      <c r="M123" s="453"/>
      <c r="N123" s="68"/>
      <c r="O123" s="362" t="s">
        <v>643</v>
      </c>
      <c r="P123" s="362" t="s">
        <v>644</v>
      </c>
      <c r="Q123" s="339"/>
    </row>
    <row r="124" spans="1:17" s="336" customFormat="1" ht="123.75">
      <c r="A124" s="240"/>
      <c r="B124" s="319">
        <f t="shared" si="10"/>
        <v>0</v>
      </c>
      <c r="C124" s="158"/>
      <c r="D124" s="398" t="s">
        <v>645</v>
      </c>
      <c r="E124" s="362" t="str">
        <f>Lists!C177</f>
        <v>Large, Brick wall, Steel roof, Concrete floor, 1 floors</v>
      </c>
      <c r="F124" s="350"/>
      <c r="G124" s="350"/>
      <c r="H124" s="18"/>
      <c r="I124" s="362" t="s">
        <v>88</v>
      </c>
      <c r="J124" s="399">
        <v>71.125491669528984</v>
      </c>
      <c r="K124" s="101"/>
      <c r="L124" s="356">
        <f t="shared" si="12"/>
        <v>0</v>
      </c>
      <c r="M124" s="453"/>
      <c r="N124" s="68"/>
      <c r="O124" s="362" t="s">
        <v>643</v>
      </c>
      <c r="P124" s="362" t="s">
        <v>646</v>
      </c>
      <c r="Q124" s="339"/>
    </row>
    <row r="125" spans="1:17" s="336" customFormat="1" ht="123.75">
      <c r="A125" s="240"/>
      <c r="B125" s="319">
        <f t="shared" si="10"/>
        <v>0</v>
      </c>
      <c r="C125" s="158"/>
      <c r="D125" s="398" t="s">
        <v>647</v>
      </c>
      <c r="E125" s="362" t="str">
        <f>Lists!C178</f>
        <v>Large, Steel wall, Steel roof, Concrete floor, 1 floors</v>
      </c>
      <c r="F125" s="350"/>
      <c r="G125" s="350"/>
      <c r="H125" s="18"/>
      <c r="I125" s="362" t="s">
        <v>88</v>
      </c>
      <c r="J125" s="399">
        <v>76.221442191012642</v>
      </c>
      <c r="K125" s="101"/>
      <c r="L125" s="356">
        <f t="shared" si="12"/>
        <v>0</v>
      </c>
      <c r="M125" s="453"/>
      <c r="N125" s="68"/>
      <c r="O125" s="362" t="s">
        <v>643</v>
      </c>
      <c r="P125" s="362" t="s">
        <v>648</v>
      </c>
      <c r="Q125" s="339"/>
    </row>
    <row r="126" spans="1:17" s="336" customFormat="1" ht="123.75">
      <c r="A126" s="240"/>
      <c r="B126" s="319">
        <f t="shared" si="10"/>
        <v>0</v>
      </c>
      <c r="C126" s="158"/>
      <c r="D126" s="398" t="s">
        <v>649</v>
      </c>
      <c r="E126" s="362" t="str">
        <f>Lists!C179</f>
        <v>Small, Steel wall, Steel roof, Concrete floor, 1 floors</v>
      </c>
      <c r="F126" s="350"/>
      <c r="G126" s="350"/>
      <c r="H126" s="18"/>
      <c r="I126" s="362" t="s">
        <v>88</v>
      </c>
      <c r="J126" s="399">
        <v>127.70506187417257</v>
      </c>
      <c r="K126" s="101"/>
      <c r="L126" s="356">
        <f t="shared" ref="L126:L127" si="13">IF(K126="",J126,K126)*H126</f>
        <v>0</v>
      </c>
      <c r="M126" s="453"/>
      <c r="N126" s="68"/>
      <c r="O126" s="362" t="s">
        <v>643</v>
      </c>
      <c r="P126" s="362" t="s">
        <v>650</v>
      </c>
      <c r="Q126" s="339"/>
    </row>
    <row r="127" spans="1:17" s="336" customFormat="1" ht="157.5">
      <c r="A127" s="240"/>
      <c r="B127" s="319">
        <f t="shared" si="10"/>
        <v>0</v>
      </c>
      <c r="C127" s="158"/>
      <c r="D127" s="398" t="s">
        <v>651</v>
      </c>
      <c r="E127" s="362" t="str">
        <f>Lists!C180</f>
        <v>Small, Steel wall, Steel roof, Concrete floor, 2 floors</v>
      </c>
      <c r="F127" s="350"/>
      <c r="G127" s="350"/>
      <c r="H127" s="18"/>
      <c r="I127" s="362" t="s">
        <v>88</v>
      </c>
      <c r="J127" s="399">
        <v>135.91571014304981</v>
      </c>
      <c r="K127" s="101"/>
      <c r="L127" s="356">
        <f t="shared" si="13"/>
        <v>0</v>
      </c>
      <c r="M127" s="453"/>
      <c r="N127" s="68"/>
      <c r="O127" s="362" t="s">
        <v>652</v>
      </c>
      <c r="P127" s="362" t="s">
        <v>653</v>
      </c>
      <c r="Q127" s="339"/>
    </row>
    <row r="128" spans="1:17" s="336" customFormat="1" ht="78.75">
      <c r="A128" s="240"/>
      <c r="B128" s="319">
        <f t="shared" si="10"/>
        <v>0</v>
      </c>
      <c r="C128" s="158"/>
      <c r="D128" s="398" t="s">
        <v>654</v>
      </c>
      <c r="E128" s="362" t="str">
        <f>Lists!C181</f>
        <v>Portable skid mounted, portable building</v>
      </c>
      <c r="F128" s="350"/>
      <c r="G128" s="353"/>
      <c r="H128" s="18"/>
      <c r="I128" s="362" t="s">
        <v>17</v>
      </c>
      <c r="J128" s="399">
        <v>2255.9546194629665</v>
      </c>
      <c r="K128" s="101"/>
      <c r="L128" s="356">
        <f t="shared" si="12"/>
        <v>0</v>
      </c>
      <c r="M128" s="453"/>
      <c r="N128" s="68"/>
      <c r="O128" s="362" t="s">
        <v>655</v>
      </c>
      <c r="P128" s="362" t="s">
        <v>656</v>
      </c>
      <c r="Q128" s="339"/>
    </row>
    <row r="129" spans="1:17" s="336" customFormat="1" ht="123.75">
      <c r="A129" s="240"/>
      <c r="B129" s="319">
        <f t="shared" si="10"/>
        <v>0</v>
      </c>
      <c r="C129" s="2"/>
      <c r="D129" s="398" t="s">
        <v>657</v>
      </c>
      <c r="E129" s="362" t="s">
        <v>658</v>
      </c>
      <c r="F129" s="350"/>
      <c r="G129" s="353"/>
      <c r="H129" s="19"/>
      <c r="I129" s="362" t="s">
        <v>246</v>
      </c>
      <c r="J129" s="400">
        <v>141.80060354234644</v>
      </c>
      <c r="K129" s="101"/>
      <c r="L129" s="356">
        <f t="shared" si="12"/>
        <v>0</v>
      </c>
      <c r="M129" s="453"/>
      <c r="N129" s="68"/>
      <c r="O129" s="362" t="s">
        <v>659</v>
      </c>
      <c r="P129" s="362" t="s">
        <v>660</v>
      </c>
      <c r="Q129" s="339"/>
    </row>
    <row r="130" spans="1:17" s="336" customFormat="1" ht="33.75">
      <c r="A130" s="240"/>
      <c r="B130" s="319">
        <f t="shared" si="10"/>
        <v>0</v>
      </c>
      <c r="C130" s="2"/>
      <c r="D130" s="398" t="s">
        <v>661</v>
      </c>
      <c r="E130" s="362" t="s">
        <v>662</v>
      </c>
      <c r="F130" s="350"/>
      <c r="G130" s="353"/>
      <c r="H130" s="19"/>
      <c r="I130" s="362" t="s">
        <v>119</v>
      </c>
      <c r="J130" s="400">
        <v>3326.1594574217693</v>
      </c>
      <c r="K130" s="101"/>
      <c r="L130" s="356">
        <f t="shared" si="12"/>
        <v>0</v>
      </c>
      <c r="M130" s="453"/>
      <c r="N130" s="68"/>
      <c r="O130" s="401" t="s">
        <v>663</v>
      </c>
      <c r="P130" s="401" t="s">
        <v>664</v>
      </c>
      <c r="Q130" s="339"/>
    </row>
    <row r="131" spans="1:17" s="336" customFormat="1">
      <c r="A131" s="240"/>
      <c r="B131" s="319">
        <f t="shared" si="10"/>
        <v>0</v>
      </c>
      <c r="C131" s="2"/>
      <c r="D131" s="398" t="s">
        <v>665</v>
      </c>
      <c r="E131" s="70" t="s">
        <v>535</v>
      </c>
      <c r="F131" s="350"/>
      <c r="G131" s="353"/>
      <c r="H131" s="19"/>
      <c r="I131" s="62"/>
      <c r="J131" s="389"/>
      <c r="K131" s="102"/>
      <c r="L131" s="356">
        <f>H131*K131</f>
        <v>0</v>
      </c>
      <c r="M131" s="453"/>
      <c r="N131" s="68"/>
      <c r="O131" s="390"/>
      <c r="P131" s="84"/>
      <c r="Q131" s="363"/>
    </row>
    <row r="132" spans="1:17" s="336" customFormat="1">
      <c r="A132" s="240"/>
      <c r="B132" s="319">
        <f t="shared" si="10"/>
        <v>0</v>
      </c>
      <c r="C132" s="73"/>
      <c r="D132" s="398" t="s">
        <v>666</v>
      </c>
      <c r="E132" s="70" t="s">
        <v>535</v>
      </c>
      <c r="F132" s="350"/>
      <c r="G132" s="353"/>
      <c r="H132" s="63"/>
      <c r="I132" s="62"/>
      <c r="J132" s="391"/>
      <c r="K132" s="104"/>
      <c r="L132" s="402">
        <f>H132*K132</f>
        <v>0</v>
      </c>
      <c r="M132" s="453"/>
      <c r="N132" s="68"/>
      <c r="O132" s="390"/>
      <c r="P132" s="70"/>
      <c r="Q132" s="363"/>
    </row>
    <row r="133" spans="1:17" s="336" customFormat="1">
      <c r="A133" s="240"/>
      <c r="B133" s="319">
        <v>1</v>
      </c>
      <c r="C133" s="370"/>
      <c r="D133" s="371"/>
      <c r="E133" s="371"/>
      <c r="F133" s="371"/>
      <c r="G133" s="371"/>
      <c r="H133" s="372"/>
      <c r="I133" s="371"/>
      <c r="J133" s="373"/>
      <c r="K133" s="374" t="s">
        <v>198</v>
      </c>
      <c r="L133" s="375">
        <f>SUBTOTAL(9,L88:L132)</f>
        <v>0</v>
      </c>
      <c r="M133" s="392"/>
      <c r="N133" s="393"/>
      <c r="O133" s="394"/>
      <c r="P133" s="395"/>
      <c r="Q133" s="339"/>
    </row>
    <row r="134" spans="1:17" s="336" customFormat="1" ht="15">
      <c r="A134" s="240"/>
      <c r="B134" s="319">
        <v>1</v>
      </c>
      <c r="C134" s="340" t="s">
        <v>667</v>
      </c>
      <c r="D134" s="341"/>
      <c r="E134" s="342"/>
      <c r="F134" s="342"/>
      <c r="G134" s="342"/>
      <c r="H134" s="380"/>
      <c r="I134" s="342"/>
      <c r="J134" s="381"/>
      <c r="K134" s="382"/>
      <c r="L134" s="383"/>
      <c r="M134" s="346"/>
      <c r="N134" s="347"/>
      <c r="O134" s="348"/>
      <c r="P134" s="349"/>
      <c r="Q134" s="339"/>
    </row>
    <row r="135" spans="1:17" s="336" customFormat="1" ht="90">
      <c r="A135" s="240"/>
      <c r="B135" s="319">
        <f t="shared" ref="B135:B147" si="14">IF(L135&gt;0,1,0)</f>
        <v>0</v>
      </c>
      <c r="C135" s="158"/>
      <c r="D135" s="398" t="s">
        <v>668</v>
      </c>
      <c r="E135" s="362" t="str">
        <f>Lists!C397</f>
        <v>Overhead powerlines (steel towers)</v>
      </c>
      <c r="F135" s="350"/>
      <c r="G135" s="353"/>
      <c r="H135" s="18"/>
      <c r="I135" s="362" t="s">
        <v>82</v>
      </c>
      <c r="J135" s="403">
        <v>24114.692201703729</v>
      </c>
      <c r="K135" s="101"/>
      <c r="L135" s="404">
        <f t="shared" ref="L135:L145" si="15">IF(K135="",J135,K135)*H135</f>
        <v>0</v>
      </c>
      <c r="M135" s="453"/>
      <c r="N135" s="69"/>
      <c r="O135" s="405" t="s">
        <v>669</v>
      </c>
      <c r="P135" s="405" t="s">
        <v>670</v>
      </c>
      <c r="Q135" s="339"/>
    </row>
    <row r="136" spans="1:17" s="336" customFormat="1" ht="78.75">
      <c r="A136" s="240"/>
      <c r="B136" s="319">
        <f t="shared" si="14"/>
        <v>0</v>
      </c>
      <c r="C136" s="158"/>
      <c r="D136" s="398" t="s">
        <v>671</v>
      </c>
      <c r="E136" s="362" t="str">
        <f>Lists!C398</f>
        <v>Overhead powerlines (wooden poles)</v>
      </c>
      <c r="F136" s="350"/>
      <c r="G136" s="353"/>
      <c r="H136" s="18"/>
      <c r="I136" s="362" t="s">
        <v>82</v>
      </c>
      <c r="J136" s="403">
        <v>17768.754989732533</v>
      </c>
      <c r="K136" s="101"/>
      <c r="L136" s="404">
        <f t="shared" si="15"/>
        <v>0</v>
      </c>
      <c r="M136" s="453"/>
      <c r="N136" s="69"/>
      <c r="O136" s="405" t="s">
        <v>672</v>
      </c>
      <c r="P136" s="405" t="s">
        <v>673</v>
      </c>
      <c r="Q136" s="339"/>
    </row>
    <row r="137" spans="1:17" s="336" customFormat="1" ht="90">
      <c r="A137" s="240"/>
      <c r="B137" s="319">
        <f t="shared" si="14"/>
        <v>0</v>
      </c>
      <c r="C137" s="158"/>
      <c r="D137" s="398" t="s">
        <v>674</v>
      </c>
      <c r="E137" s="362" t="str">
        <f>Lists!C399</f>
        <v>Overhead powerlines (concrete poles)</v>
      </c>
      <c r="F137" s="350"/>
      <c r="G137" s="353"/>
      <c r="H137" s="18"/>
      <c r="I137" s="362" t="s">
        <v>82</v>
      </c>
      <c r="J137" s="403">
        <v>27300.433714697272</v>
      </c>
      <c r="K137" s="101"/>
      <c r="L137" s="404">
        <f t="shared" si="15"/>
        <v>0</v>
      </c>
      <c r="M137" s="453"/>
      <c r="N137" s="69"/>
      <c r="O137" s="405" t="s">
        <v>675</v>
      </c>
      <c r="P137" s="405" t="s">
        <v>676</v>
      </c>
      <c r="Q137" s="339"/>
    </row>
    <row r="138" spans="1:17" s="336" customFormat="1" ht="78.75">
      <c r="A138" s="240"/>
      <c r="B138" s="319">
        <f t="shared" si="14"/>
        <v>0</v>
      </c>
      <c r="C138" s="158"/>
      <c r="D138" s="398" t="s">
        <v>677</v>
      </c>
      <c r="E138" s="362" t="str">
        <f>Lists!C402</f>
        <v>Power generation - gas 3 MW</v>
      </c>
      <c r="F138" s="350"/>
      <c r="G138" s="353"/>
      <c r="H138" s="18"/>
      <c r="I138" s="362" t="s">
        <v>678</v>
      </c>
      <c r="J138" s="403">
        <v>42978.695163502845</v>
      </c>
      <c r="K138" s="101"/>
      <c r="L138" s="404">
        <f t="shared" si="15"/>
        <v>0</v>
      </c>
      <c r="M138" s="453"/>
      <c r="N138" s="69"/>
      <c r="O138" s="405" t="s">
        <v>679</v>
      </c>
      <c r="P138" s="405" t="s">
        <v>680</v>
      </c>
      <c r="Q138" s="339"/>
    </row>
    <row r="139" spans="1:17" s="336" customFormat="1" ht="78.75">
      <c r="A139" s="240"/>
      <c r="B139" s="319">
        <f t="shared" si="14"/>
        <v>0</v>
      </c>
      <c r="C139" s="158"/>
      <c r="D139" s="398" t="s">
        <v>681</v>
      </c>
      <c r="E139" s="362" t="str">
        <f>Lists!C403</f>
        <v>Power generation - gas 12 MW</v>
      </c>
      <c r="F139" s="350"/>
      <c r="G139" s="353"/>
      <c r="H139" s="18"/>
      <c r="I139" s="362" t="s">
        <v>678</v>
      </c>
      <c r="J139" s="403">
        <v>191998.72351795374</v>
      </c>
      <c r="K139" s="101"/>
      <c r="L139" s="404">
        <f t="shared" si="15"/>
        <v>0</v>
      </c>
      <c r="M139" s="453"/>
      <c r="N139" s="69"/>
      <c r="O139" s="405" t="s">
        <v>682</v>
      </c>
      <c r="P139" s="405" t="s">
        <v>683</v>
      </c>
      <c r="Q139" s="339"/>
    </row>
    <row r="140" spans="1:17" s="336" customFormat="1" ht="78.75">
      <c r="A140" s="240"/>
      <c r="B140" s="319">
        <f t="shared" si="14"/>
        <v>0</v>
      </c>
      <c r="C140" s="158"/>
      <c r="D140" s="398" t="s">
        <v>684</v>
      </c>
      <c r="E140" s="362" t="str">
        <f>Lists!C404</f>
        <v>Power generation - gas 24 MW</v>
      </c>
      <c r="F140" s="350"/>
      <c r="G140" s="353"/>
      <c r="H140" s="18"/>
      <c r="I140" s="362" t="s">
        <v>678</v>
      </c>
      <c r="J140" s="403">
        <v>344603.13145407755</v>
      </c>
      <c r="K140" s="101"/>
      <c r="L140" s="404">
        <f t="shared" si="15"/>
        <v>0</v>
      </c>
      <c r="M140" s="453"/>
      <c r="N140" s="69"/>
      <c r="O140" s="405" t="s">
        <v>682</v>
      </c>
      <c r="P140" s="405" t="s">
        <v>685</v>
      </c>
      <c r="Q140" s="339"/>
    </row>
    <row r="141" spans="1:17" s="336" customFormat="1" ht="78.75">
      <c r="A141" s="240"/>
      <c r="B141" s="319">
        <f t="shared" si="14"/>
        <v>0</v>
      </c>
      <c r="C141" s="158"/>
      <c r="D141" s="398" t="s">
        <v>686</v>
      </c>
      <c r="E141" s="362" t="str">
        <f>Lists!C405</f>
        <v>Power generation - gas 36 MW</v>
      </c>
      <c r="F141" s="350"/>
      <c r="G141" s="353"/>
      <c r="H141" s="18"/>
      <c r="I141" s="362" t="s">
        <v>678</v>
      </c>
      <c r="J141" s="403">
        <v>480489.0558158097</v>
      </c>
      <c r="K141" s="101"/>
      <c r="L141" s="404">
        <f t="shared" si="15"/>
        <v>0</v>
      </c>
      <c r="M141" s="453"/>
      <c r="N141" s="69"/>
      <c r="O141" s="405" t="s">
        <v>682</v>
      </c>
      <c r="P141" s="405" t="s">
        <v>687</v>
      </c>
      <c r="Q141" s="339"/>
    </row>
    <row r="142" spans="1:17" s="336" customFormat="1" ht="173.65" customHeight="1">
      <c r="A142" s="240"/>
      <c r="B142" s="319">
        <f t="shared" si="14"/>
        <v>0</v>
      </c>
      <c r="C142" s="158"/>
      <c r="D142" s="398" t="s">
        <v>688</v>
      </c>
      <c r="E142" s="362" t="str">
        <f>Lists!C408</f>
        <v>Substation 33 / 11 kV</v>
      </c>
      <c r="F142" s="350"/>
      <c r="G142" s="353"/>
      <c r="H142" s="18"/>
      <c r="I142" s="362" t="s">
        <v>678</v>
      </c>
      <c r="J142" s="403">
        <v>79262.706009324014</v>
      </c>
      <c r="K142" s="101"/>
      <c r="L142" s="404">
        <f t="shared" si="15"/>
        <v>0</v>
      </c>
      <c r="M142" s="453"/>
      <c r="N142" s="69"/>
      <c r="O142" s="405" t="s">
        <v>689</v>
      </c>
      <c r="P142" s="405" t="s">
        <v>690</v>
      </c>
      <c r="Q142" s="339"/>
    </row>
    <row r="143" spans="1:17" s="336" customFormat="1" ht="45">
      <c r="A143" s="240"/>
      <c r="B143" s="319">
        <f t="shared" si="14"/>
        <v>0</v>
      </c>
      <c r="C143" s="158"/>
      <c r="D143" s="398" t="s">
        <v>691</v>
      </c>
      <c r="E143" s="362" t="str">
        <f>Lists!C409</f>
        <v xml:space="preserve">Substation 66 / 11 kV </v>
      </c>
      <c r="F143" s="350"/>
      <c r="G143" s="353"/>
      <c r="H143" s="19"/>
      <c r="I143" s="362" t="s">
        <v>678</v>
      </c>
      <c r="J143" s="403">
        <v>81695.417124708634</v>
      </c>
      <c r="K143" s="101"/>
      <c r="L143" s="404">
        <f t="shared" si="15"/>
        <v>0</v>
      </c>
      <c r="M143" s="453"/>
      <c r="N143" s="69"/>
      <c r="O143" s="405" t="s">
        <v>692</v>
      </c>
      <c r="P143" s="405" t="s">
        <v>495</v>
      </c>
      <c r="Q143" s="339"/>
    </row>
    <row r="144" spans="1:17" s="336" customFormat="1" ht="45">
      <c r="A144" s="240"/>
      <c r="B144" s="319">
        <f t="shared" si="14"/>
        <v>0</v>
      </c>
      <c r="C144" s="158"/>
      <c r="D144" s="398" t="s">
        <v>693</v>
      </c>
      <c r="E144" s="362" t="str">
        <f>Lists!C410</f>
        <v>Substation 132 / 33 kV</v>
      </c>
      <c r="F144" s="350"/>
      <c r="G144" s="353"/>
      <c r="H144" s="19"/>
      <c r="I144" s="362" t="s">
        <v>678</v>
      </c>
      <c r="J144" s="403">
        <v>251692.17837813101</v>
      </c>
      <c r="K144" s="101"/>
      <c r="L144" s="404">
        <f t="shared" si="15"/>
        <v>0</v>
      </c>
      <c r="M144" s="453"/>
      <c r="N144" s="69"/>
      <c r="O144" s="405" t="s">
        <v>692</v>
      </c>
      <c r="P144" s="405" t="s">
        <v>495</v>
      </c>
      <c r="Q144" s="339"/>
    </row>
    <row r="145" spans="1:17" s="336" customFormat="1" ht="67.5">
      <c r="A145" s="240"/>
      <c r="B145" s="319">
        <f t="shared" si="14"/>
        <v>0</v>
      </c>
      <c r="C145" s="158"/>
      <c r="D145" s="398" t="s">
        <v>694</v>
      </c>
      <c r="E145" s="362" t="s">
        <v>695</v>
      </c>
      <c r="F145" s="350"/>
      <c r="G145" s="353"/>
      <c r="H145" s="18"/>
      <c r="I145" s="362" t="s">
        <v>696</v>
      </c>
      <c r="J145" s="403">
        <v>20911.299731672898</v>
      </c>
      <c r="K145" s="101"/>
      <c r="L145" s="404">
        <f t="shared" si="15"/>
        <v>0</v>
      </c>
      <c r="M145" s="453"/>
      <c r="N145" s="69"/>
      <c r="O145" s="405" t="s">
        <v>697</v>
      </c>
      <c r="P145" s="405" t="s">
        <v>698</v>
      </c>
      <c r="Q145" s="339"/>
    </row>
    <row r="146" spans="1:17" s="336" customFormat="1">
      <c r="A146" s="240"/>
      <c r="B146" s="319">
        <f t="shared" si="14"/>
        <v>0</v>
      </c>
      <c r="C146" s="158"/>
      <c r="D146" s="398" t="s">
        <v>699</v>
      </c>
      <c r="E146" s="70" t="s">
        <v>535</v>
      </c>
      <c r="F146" s="350"/>
      <c r="G146" s="353"/>
      <c r="H146" s="18"/>
      <c r="I146" s="62"/>
      <c r="J146" s="368"/>
      <c r="K146" s="102"/>
      <c r="L146" s="404">
        <f>H146*K146</f>
        <v>0</v>
      </c>
      <c r="M146" s="453"/>
      <c r="N146" s="69"/>
      <c r="O146" s="359"/>
      <c r="P146" s="70"/>
      <c r="Q146" s="363"/>
    </row>
    <row r="147" spans="1:17" s="336" customFormat="1">
      <c r="A147" s="240"/>
      <c r="B147" s="319">
        <f t="shared" si="14"/>
        <v>0</v>
      </c>
      <c r="C147" s="158"/>
      <c r="D147" s="398" t="s">
        <v>700</v>
      </c>
      <c r="E147" s="70" t="s">
        <v>535</v>
      </c>
      <c r="F147" s="350"/>
      <c r="G147" s="353"/>
      <c r="H147" s="18"/>
      <c r="I147" s="62"/>
      <c r="J147" s="368"/>
      <c r="K147" s="104"/>
      <c r="L147" s="404">
        <f>H147*K147</f>
        <v>0</v>
      </c>
      <c r="M147" s="453"/>
      <c r="N147" s="85"/>
      <c r="O147" s="359"/>
      <c r="P147" s="70"/>
      <c r="Q147" s="363"/>
    </row>
    <row r="148" spans="1:17" s="336" customFormat="1">
      <c r="A148" s="240"/>
      <c r="B148" s="319">
        <v>1</v>
      </c>
      <c r="C148" s="370"/>
      <c r="D148" s="371"/>
      <c r="E148" s="371"/>
      <c r="F148" s="371"/>
      <c r="G148" s="371"/>
      <c r="H148" s="372"/>
      <c r="I148" s="371"/>
      <c r="J148" s="373"/>
      <c r="K148" s="374" t="s">
        <v>198</v>
      </c>
      <c r="L148" s="375">
        <f>SUBTOTAL(9,L135:L147)</f>
        <v>0</v>
      </c>
      <c r="M148" s="392"/>
      <c r="N148" s="393"/>
      <c r="O148" s="394"/>
      <c r="P148" s="395"/>
      <c r="Q148" s="339"/>
    </row>
    <row r="149" spans="1:17" s="336" customFormat="1" ht="15">
      <c r="A149" s="240"/>
      <c r="B149" s="319">
        <v>1</v>
      </c>
      <c r="C149" s="340" t="s">
        <v>701</v>
      </c>
      <c r="D149" s="341"/>
      <c r="E149" s="342"/>
      <c r="F149" s="342"/>
      <c r="G149" s="342"/>
      <c r="H149" s="380"/>
      <c r="I149" s="342"/>
      <c r="J149" s="381"/>
      <c r="K149" s="382"/>
      <c r="L149" s="382"/>
      <c r="M149" s="346"/>
      <c r="N149" s="347"/>
      <c r="O149" s="348"/>
      <c r="P149" s="349"/>
      <c r="Q149" s="339"/>
    </row>
    <row r="150" spans="1:17" s="336" customFormat="1" ht="67.5">
      <c r="A150" s="240"/>
      <c r="B150" s="319">
        <f>IF(L150&gt;0,1,0)</f>
        <v>0</v>
      </c>
      <c r="C150" s="158"/>
      <c r="D150" s="350"/>
      <c r="E150" s="362" t="s">
        <v>702</v>
      </c>
      <c r="F150" s="350"/>
      <c r="G150" s="352"/>
      <c r="H150" s="397"/>
      <c r="I150" s="354" t="s">
        <v>159</v>
      </c>
      <c r="J150" s="355"/>
      <c r="K150" s="355"/>
      <c r="L150" s="404">
        <f>Wells!C4</f>
        <v>0</v>
      </c>
      <c r="M150" s="453"/>
      <c r="N150" s="69"/>
      <c r="O150" s="362"/>
      <c r="P150" s="362" t="s">
        <v>703</v>
      </c>
      <c r="Q150" s="339"/>
    </row>
    <row r="151" spans="1:17" s="336" customFormat="1" ht="67.5">
      <c r="A151" s="240"/>
      <c r="B151" s="319">
        <f t="shared" ref="B151:B214" si="16">IF(L151&gt;0,1,0)</f>
        <v>0</v>
      </c>
      <c r="C151" s="158"/>
      <c r="D151" s="398" t="s">
        <v>704</v>
      </c>
      <c r="E151" s="362" t="str" cm="1">
        <f t="array" ref="E151:E180">WellList</f>
        <v>Conventional oil, Plugged and abandoned, Single well</v>
      </c>
      <c r="F151" s="350"/>
      <c r="G151" s="353"/>
      <c r="H151" s="19"/>
      <c r="I151" s="362" t="s">
        <v>705</v>
      </c>
      <c r="J151" s="361">
        <v>679.88452763824785</v>
      </c>
      <c r="K151" s="101"/>
      <c r="L151" s="404">
        <f t="shared" ref="L151:L159" si="17">IF(K151="",J151,K151)*H151</f>
        <v>0</v>
      </c>
      <c r="M151" s="453"/>
      <c r="N151" s="69"/>
      <c r="O151" s="362" t="s">
        <v>706</v>
      </c>
      <c r="P151" s="362" t="s">
        <v>707</v>
      </c>
      <c r="Q151" s="339"/>
    </row>
    <row r="152" spans="1:17" s="336" customFormat="1" ht="67.5">
      <c r="A152" s="240"/>
      <c r="B152" s="319">
        <f t="shared" si="16"/>
        <v>0</v>
      </c>
      <c r="C152" s="158"/>
      <c r="D152" s="398" t="s">
        <v>708</v>
      </c>
      <c r="E152" s="362" t="str">
        <v>Conventional oil, Suspended, Single well</v>
      </c>
      <c r="F152" s="350"/>
      <c r="G152" s="353"/>
      <c r="H152" s="19"/>
      <c r="I152" s="362" t="s">
        <v>705</v>
      </c>
      <c r="J152" s="361">
        <v>1728.3985253123592</v>
      </c>
      <c r="K152" s="101"/>
      <c r="L152" s="404">
        <f t="shared" si="17"/>
        <v>0</v>
      </c>
      <c r="M152" s="453"/>
      <c r="N152" s="69"/>
      <c r="O152" s="362" t="s">
        <v>709</v>
      </c>
      <c r="P152" s="362" t="s">
        <v>710</v>
      </c>
      <c r="Q152" s="339"/>
    </row>
    <row r="153" spans="1:17" s="336" customFormat="1" ht="67.5">
      <c r="A153" s="240"/>
      <c r="B153" s="319">
        <f t="shared" si="16"/>
        <v>0</v>
      </c>
      <c r="C153" s="158"/>
      <c r="D153" s="398" t="s">
        <v>711</v>
      </c>
      <c r="E153" s="362" t="str">
        <v>Conventional oil, Shut-in, Single well</v>
      </c>
      <c r="F153" s="350"/>
      <c r="G153" s="353"/>
      <c r="H153" s="19"/>
      <c r="I153" s="362" t="s">
        <v>705</v>
      </c>
      <c r="J153" s="361">
        <v>9624.1686491555829</v>
      </c>
      <c r="K153" s="101"/>
      <c r="L153" s="404">
        <f t="shared" si="17"/>
        <v>0</v>
      </c>
      <c r="M153" s="453"/>
      <c r="N153" s="69"/>
      <c r="O153" s="362" t="s">
        <v>712</v>
      </c>
      <c r="P153" s="362" t="s">
        <v>713</v>
      </c>
      <c r="Q153" s="339"/>
    </row>
    <row r="154" spans="1:17" s="336" customFormat="1" ht="67.5">
      <c r="A154" s="240"/>
      <c r="B154" s="319">
        <f t="shared" si="16"/>
        <v>0</v>
      </c>
      <c r="C154" s="158"/>
      <c r="D154" s="398" t="s">
        <v>714</v>
      </c>
      <c r="E154" s="362" t="str">
        <v>Conventional oil, Appraisal / development, Single well</v>
      </c>
      <c r="F154" s="350"/>
      <c r="G154" s="353"/>
      <c r="H154" s="19"/>
      <c r="I154" s="362" t="s">
        <v>705</v>
      </c>
      <c r="J154" s="361">
        <v>12454.23665461145</v>
      </c>
      <c r="K154" s="101"/>
      <c r="L154" s="404">
        <f t="shared" si="17"/>
        <v>0</v>
      </c>
      <c r="M154" s="453"/>
      <c r="N154" s="69"/>
      <c r="O154" s="362" t="s">
        <v>712</v>
      </c>
      <c r="P154" s="362" t="s">
        <v>715</v>
      </c>
      <c r="Q154" s="339"/>
    </row>
    <row r="155" spans="1:17" s="336" customFormat="1" ht="67.5">
      <c r="A155" s="240"/>
      <c r="B155" s="319">
        <f t="shared" si="16"/>
        <v>0</v>
      </c>
      <c r="C155" s="158"/>
      <c r="D155" s="398" t="s">
        <v>716</v>
      </c>
      <c r="E155" s="362" t="str">
        <v>Conventional oil, Operation / Production, Single well, Beam Pump</v>
      </c>
      <c r="F155" s="350"/>
      <c r="G155" s="353"/>
      <c r="H155" s="19"/>
      <c r="I155" s="362" t="s">
        <v>705</v>
      </c>
      <c r="J155" s="361">
        <v>18180.945978575393</v>
      </c>
      <c r="K155" s="101"/>
      <c r="L155" s="404">
        <f t="shared" si="17"/>
        <v>0</v>
      </c>
      <c r="M155" s="453"/>
      <c r="N155" s="69"/>
      <c r="O155" s="362" t="s">
        <v>712</v>
      </c>
      <c r="P155" s="362" t="s">
        <v>717</v>
      </c>
      <c r="Q155" s="339"/>
    </row>
    <row r="156" spans="1:17" s="336" customFormat="1" ht="67.5">
      <c r="A156" s="240"/>
      <c r="B156" s="319">
        <f t="shared" si="16"/>
        <v>0</v>
      </c>
      <c r="C156" s="158"/>
      <c r="D156" s="398" t="s">
        <v>718</v>
      </c>
      <c r="E156" s="362" t="str">
        <v>Conventional oil, Operation / Production, Single well, No Beam Pump</v>
      </c>
      <c r="F156" s="350"/>
      <c r="G156" s="353"/>
      <c r="H156" s="19"/>
      <c r="I156" s="362" t="s">
        <v>705</v>
      </c>
      <c r="J156" s="361">
        <v>14837.484377387667</v>
      </c>
      <c r="K156" s="101"/>
      <c r="L156" s="404">
        <f t="shared" si="17"/>
        <v>0</v>
      </c>
      <c r="M156" s="453"/>
      <c r="N156" s="69"/>
      <c r="O156" s="362" t="s">
        <v>719</v>
      </c>
      <c r="P156" s="362" t="s">
        <v>720</v>
      </c>
      <c r="Q156" s="339"/>
    </row>
    <row r="157" spans="1:17" s="336" customFormat="1" ht="67.5">
      <c r="A157" s="240"/>
      <c r="B157" s="319">
        <f t="shared" si="16"/>
        <v>0</v>
      </c>
      <c r="C157" s="158"/>
      <c r="D157" s="398" t="s">
        <v>721</v>
      </c>
      <c r="E157" s="362" t="str">
        <v>Conventional oil, Beam Pump only</v>
      </c>
      <c r="F157" s="350"/>
      <c r="G157" s="353"/>
      <c r="H157" s="19"/>
      <c r="I157" s="362" t="s">
        <v>705</v>
      </c>
      <c r="J157" s="361">
        <v>3343.4616011877265</v>
      </c>
      <c r="K157" s="101"/>
      <c r="L157" s="404">
        <f t="shared" si="17"/>
        <v>0</v>
      </c>
      <c r="M157" s="453"/>
      <c r="N157" s="69"/>
      <c r="O157" s="362" t="s">
        <v>722</v>
      </c>
      <c r="P157" s="362" t="s">
        <v>723</v>
      </c>
      <c r="Q157" s="339"/>
    </row>
    <row r="158" spans="1:17" s="336" customFormat="1" ht="58.35" customHeight="1">
      <c r="A158" s="240"/>
      <c r="B158" s="319">
        <f t="shared" si="16"/>
        <v>0</v>
      </c>
      <c r="C158" s="158"/>
      <c r="D158" s="398" t="s">
        <v>724</v>
      </c>
      <c r="E158" s="362" t="str">
        <v>Conventional gas, Plugged and abandoned, Single well</v>
      </c>
      <c r="F158" s="350"/>
      <c r="G158" s="353"/>
      <c r="H158" s="19"/>
      <c r="I158" s="362" t="s">
        <v>705</v>
      </c>
      <c r="J158" s="361">
        <v>679.88452763824785</v>
      </c>
      <c r="K158" s="101"/>
      <c r="L158" s="404">
        <f t="shared" si="17"/>
        <v>0</v>
      </c>
      <c r="M158" s="453"/>
      <c r="N158" s="69"/>
      <c r="O158" s="362" t="s">
        <v>725</v>
      </c>
      <c r="P158" s="362" t="s">
        <v>726</v>
      </c>
      <c r="Q158" s="339"/>
    </row>
    <row r="159" spans="1:17" s="336" customFormat="1" ht="67.5">
      <c r="A159" s="240"/>
      <c r="B159" s="319">
        <f t="shared" si="16"/>
        <v>0</v>
      </c>
      <c r="C159" s="158"/>
      <c r="D159" s="398" t="s">
        <v>727</v>
      </c>
      <c r="E159" s="362" t="str">
        <v>Conventional gas, Suspended, Single well</v>
      </c>
      <c r="F159" s="350"/>
      <c r="G159" s="353"/>
      <c r="H159" s="19"/>
      <c r="I159" s="362" t="s">
        <v>705</v>
      </c>
      <c r="J159" s="361">
        <v>917.21651059099804</v>
      </c>
      <c r="K159" s="101"/>
      <c r="L159" s="404">
        <f t="shared" si="17"/>
        <v>0</v>
      </c>
      <c r="M159" s="453"/>
      <c r="N159" s="69"/>
      <c r="O159" s="362" t="s">
        <v>712</v>
      </c>
      <c r="P159" s="362" t="s">
        <v>728</v>
      </c>
      <c r="Q159" s="339"/>
    </row>
    <row r="160" spans="1:17" s="336" customFormat="1" ht="56.25">
      <c r="A160" s="240"/>
      <c r="B160" s="319">
        <f t="shared" si="16"/>
        <v>0</v>
      </c>
      <c r="C160" s="158"/>
      <c r="D160" s="398" t="s">
        <v>729</v>
      </c>
      <c r="E160" s="362" t="str">
        <v>Conventional gas, Shut-in, Single well</v>
      </c>
      <c r="F160" s="350"/>
      <c r="G160" s="353"/>
      <c r="H160" s="19"/>
      <c r="I160" s="362" t="s">
        <v>705</v>
      </c>
      <c r="J160" s="361">
        <v>3643.4482662316937</v>
      </c>
      <c r="K160" s="101"/>
      <c r="L160" s="404">
        <f t="shared" ref="L160:L161" si="18">IF(K160="",J160,K160)*H160</f>
        <v>0</v>
      </c>
      <c r="M160" s="453"/>
      <c r="N160" s="69"/>
      <c r="O160" s="362" t="s">
        <v>712</v>
      </c>
      <c r="P160" s="362" t="s">
        <v>730</v>
      </c>
      <c r="Q160" s="339"/>
    </row>
    <row r="161" spans="1:17" s="336" customFormat="1" ht="67.5">
      <c r="A161" s="240"/>
      <c r="B161" s="319">
        <f t="shared" si="16"/>
        <v>0</v>
      </c>
      <c r="C161" s="158"/>
      <c r="D161" s="398" t="s">
        <v>731</v>
      </c>
      <c r="E161" s="362" t="str">
        <v>Conventional gas, Appraisal / development, Single well</v>
      </c>
      <c r="F161" s="350"/>
      <c r="G161" s="353"/>
      <c r="H161" s="19"/>
      <c r="I161" s="362" t="s">
        <v>705</v>
      </c>
      <c r="J161" s="361">
        <v>5494.8990719411167</v>
      </c>
      <c r="K161" s="101"/>
      <c r="L161" s="404">
        <f t="shared" si="18"/>
        <v>0</v>
      </c>
      <c r="M161" s="453"/>
      <c r="N161" s="69"/>
      <c r="O161" s="362" t="s">
        <v>712</v>
      </c>
      <c r="P161" s="362" t="s">
        <v>732</v>
      </c>
      <c r="Q161" s="339"/>
    </row>
    <row r="162" spans="1:17" s="336" customFormat="1" ht="67.5">
      <c r="A162" s="240"/>
      <c r="B162" s="319">
        <f t="shared" si="16"/>
        <v>0</v>
      </c>
      <c r="C162" s="158"/>
      <c r="D162" s="398" t="s">
        <v>733</v>
      </c>
      <c r="E162" s="362" t="str">
        <v>Conventional gas, Operation / Production, Single well</v>
      </c>
      <c r="F162" s="350"/>
      <c r="G162" s="353"/>
      <c r="H162" s="19"/>
      <c r="I162" s="362" t="s">
        <v>705</v>
      </c>
      <c r="J162" s="361">
        <v>3643.4482662316937</v>
      </c>
      <c r="K162" s="101"/>
      <c r="L162" s="404">
        <f t="shared" ref="L162:L175" si="19">IF(K162="",J162,K162)*H162</f>
        <v>0</v>
      </c>
      <c r="M162" s="453"/>
      <c r="N162" s="69"/>
      <c r="O162" s="362" t="s">
        <v>712</v>
      </c>
      <c r="P162" s="362" t="s">
        <v>732</v>
      </c>
      <c r="Q162" s="339"/>
    </row>
    <row r="163" spans="1:17" s="336" customFormat="1" ht="78.75">
      <c r="A163" s="240"/>
      <c r="B163" s="319">
        <f t="shared" si="16"/>
        <v>0</v>
      </c>
      <c r="C163" s="158"/>
      <c r="D163" s="398" t="s">
        <v>734</v>
      </c>
      <c r="E163" s="362" t="str">
        <v>Conventional gas, Operation / Production, &lt;= 4 wells well</v>
      </c>
      <c r="F163" s="350"/>
      <c r="G163" s="353"/>
      <c r="H163" s="19"/>
      <c r="I163" s="362" t="s">
        <v>705</v>
      </c>
      <c r="J163" s="361">
        <v>10977.800231505367</v>
      </c>
      <c r="K163" s="101"/>
      <c r="L163" s="404">
        <f t="shared" si="19"/>
        <v>0</v>
      </c>
      <c r="M163" s="453"/>
      <c r="N163" s="69"/>
      <c r="O163" s="362" t="s">
        <v>735</v>
      </c>
      <c r="P163" s="362" t="s">
        <v>736</v>
      </c>
      <c r="Q163" s="339"/>
    </row>
    <row r="164" spans="1:17" s="336" customFormat="1" ht="78.75">
      <c r="A164" s="240"/>
      <c r="B164" s="319">
        <f t="shared" si="16"/>
        <v>0</v>
      </c>
      <c r="C164" s="158"/>
      <c r="D164" s="398" t="s">
        <v>737</v>
      </c>
      <c r="E164" s="362" t="str">
        <v>Conventional gas, Operation / Production, &gt; 4 wells well</v>
      </c>
      <c r="F164" s="350"/>
      <c r="G164" s="353"/>
      <c r="H164" s="19"/>
      <c r="I164" s="362" t="s">
        <v>705</v>
      </c>
      <c r="J164" s="361">
        <v>13578.888344846031</v>
      </c>
      <c r="K164" s="101"/>
      <c r="L164" s="404">
        <f t="shared" si="19"/>
        <v>0</v>
      </c>
      <c r="M164" s="453"/>
      <c r="N164" s="69"/>
      <c r="O164" s="362" t="s">
        <v>735</v>
      </c>
      <c r="P164" s="362" t="s">
        <v>738</v>
      </c>
      <c r="Q164" s="339"/>
    </row>
    <row r="165" spans="1:17" s="336" customFormat="1" ht="67.5">
      <c r="A165" s="240"/>
      <c r="B165" s="319">
        <f t="shared" si="16"/>
        <v>0</v>
      </c>
      <c r="C165" s="2"/>
      <c r="D165" s="398" t="s">
        <v>739</v>
      </c>
      <c r="E165" s="362" t="str">
        <v>Coal seam gas, Plugged and abandoned, Single well</v>
      </c>
      <c r="F165" s="350"/>
      <c r="G165" s="353"/>
      <c r="H165" s="19"/>
      <c r="I165" s="362" t="s">
        <v>705</v>
      </c>
      <c r="J165" s="361">
        <v>679.88452763824785</v>
      </c>
      <c r="K165" s="101"/>
      <c r="L165" s="404">
        <f t="shared" si="19"/>
        <v>0</v>
      </c>
      <c r="M165" s="453"/>
      <c r="N165" s="99"/>
      <c r="O165" s="362" t="s">
        <v>735</v>
      </c>
      <c r="P165" s="362" t="s">
        <v>740</v>
      </c>
      <c r="Q165" s="339"/>
    </row>
    <row r="166" spans="1:17" s="336" customFormat="1" ht="67.5">
      <c r="A166" s="240"/>
      <c r="B166" s="319">
        <f t="shared" si="16"/>
        <v>0</v>
      </c>
      <c r="C166" s="158"/>
      <c r="D166" s="398" t="s">
        <v>741</v>
      </c>
      <c r="E166" s="362" t="str">
        <v>Coal seam gas, Suspended, Single well</v>
      </c>
      <c r="F166" s="350"/>
      <c r="G166" s="353"/>
      <c r="H166" s="19"/>
      <c r="I166" s="362" t="s">
        <v>705</v>
      </c>
      <c r="J166" s="361">
        <v>1874.501517474911</v>
      </c>
      <c r="K166" s="101"/>
      <c r="L166" s="404">
        <f t="shared" si="19"/>
        <v>0</v>
      </c>
      <c r="M166" s="453"/>
      <c r="N166" s="69"/>
      <c r="O166" s="362" t="s">
        <v>735</v>
      </c>
      <c r="P166" s="362" t="s">
        <v>728</v>
      </c>
      <c r="Q166" s="339"/>
    </row>
    <row r="167" spans="1:17" s="336" customFormat="1" ht="78.75">
      <c r="A167" s="240"/>
      <c r="B167" s="319">
        <f t="shared" si="16"/>
        <v>0</v>
      </c>
      <c r="C167" s="158"/>
      <c r="D167" s="398" t="s">
        <v>742</v>
      </c>
      <c r="E167" s="362" t="str">
        <v>Coal seam gas, Shut-in, Single well</v>
      </c>
      <c r="F167" s="350"/>
      <c r="G167" s="353"/>
      <c r="H167" s="19"/>
      <c r="I167" s="362" t="s">
        <v>705</v>
      </c>
      <c r="J167" s="361">
        <v>8842.9491940787648</v>
      </c>
      <c r="K167" s="101"/>
      <c r="L167" s="404">
        <f t="shared" si="19"/>
        <v>0</v>
      </c>
      <c r="M167" s="453"/>
      <c r="N167" s="69"/>
      <c r="O167" s="362" t="s">
        <v>735</v>
      </c>
      <c r="P167" s="362" t="s">
        <v>743</v>
      </c>
      <c r="Q167" s="339"/>
    </row>
    <row r="168" spans="1:17" s="336" customFormat="1" ht="101.25">
      <c r="A168" s="240"/>
      <c r="B168" s="319">
        <f t="shared" si="16"/>
        <v>0</v>
      </c>
      <c r="C168" s="158"/>
      <c r="D168" s="398" t="s">
        <v>744</v>
      </c>
      <c r="E168" s="362" t="str">
        <v>Coal seam gas, Appraisal / development, Single well</v>
      </c>
      <c r="F168" s="350"/>
      <c r="G168" s="353"/>
      <c r="H168" s="19"/>
      <c r="I168" s="362" t="s">
        <v>705</v>
      </c>
      <c r="J168" s="361">
        <v>18038.956135133889</v>
      </c>
      <c r="K168" s="101"/>
      <c r="L168" s="404">
        <f t="shared" si="19"/>
        <v>0</v>
      </c>
      <c r="M168" s="453"/>
      <c r="N168" s="69"/>
      <c r="O168" s="362" t="s">
        <v>735</v>
      </c>
      <c r="P168" s="362" t="s">
        <v>745</v>
      </c>
      <c r="Q168" s="339"/>
    </row>
    <row r="169" spans="1:17" s="336" customFormat="1" ht="90">
      <c r="A169" s="240"/>
      <c r="B169" s="319">
        <f t="shared" si="16"/>
        <v>0</v>
      </c>
      <c r="C169" s="158"/>
      <c r="D169" s="398" t="s">
        <v>746</v>
      </c>
      <c r="E169" s="362" t="str">
        <v>Coal seam gas, Operation / Production, Single well</v>
      </c>
      <c r="F169" s="350"/>
      <c r="G169" s="353"/>
      <c r="H169" s="19"/>
      <c r="I169" s="362" t="s">
        <v>705</v>
      </c>
      <c r="J169" s="361">
        <v>8155.0395475953992</v>
      </c>
      <c r="K169" s="101"/>
      <c r="L169" s="404">
        <f t="shared" si="19"/>
        <v>0</v>
      </c>
      <c r="M169" s="453"/>
      <c r="N169" s="69"/>
      <c r="O169" s="362" t="s">
        <v>735</v>
      </c>
      <c r="P169" s="362" t="s">
        <v>747</v>
      </c>
      <c r="Q169" s="339"/>
    </row>
    <row r="170" spans="1:17" s="336" customFormat="1" ht="112.5">
      <c r="A170" s="240"/>
      <c r="B170" s="319">
        <f t="shared" si="16"/>
        <v>0</v>
      </c>
      <c r="C170" s="158"/>
      <c r="D170" s="398" t="s">
        <v>748</v>
      </c>
      <c r="E170" s="362" t="str">
        <v>Coal seam gas, Appraisal / development, &lt;= 4 wells well</v>
      </c>
      <c r="F170" s="350"/>
      <c r="G170" s="353"/>
      <c r="H170" s="19"/>
      <c r="I170" s="362" t="s">
        <v>705</v>
      </c>
      <c r="J170" s="361">
        <v>28632.256880309887</v>
      </c>
      <c r="K170" s="101"/>
      <c r="L170" s="404">
        <f t="shared" si="19"/>
        <v>0</v>
      </c>
      <c r="M170" s="453"/>
      <c r="N170" s="69"/>
      <c r="O170" s="362" t="s">
        <v>735</v>
      </c>
      <c r="P170" s="362" t="s">
        <v>749</v>
      </c>
      <c r="Q170" s="339"/>
    </row>
    <row r="171" spans="1:17" s="336" customFormat="1" ht="101.25">
      <c r="A171" s="240"/>
      <c r="B171" s="319">
        <f t="shared" si="16"/>
        <v>0</v>
      </c>
      <c r="C171" s="158"/>
      <c r="D171" s="398" t="s">
        <v>750</v>
      </c>
      <c r="E171" s="362" t="str">
        <v>Coal seam gas, Operation / Production, &lt;= 4 wells well</v>
      </c>
      <c r="F171" s="350"/>
      <c r="G171" s="353"/>
      <c r="H171" s="19"/>
      <c r="I171" s="362" t="s">
        <v>705</v>
      </c>
      <c r="J171" s="361">
        <v>15504.255372708538</v>
      </c>
      <c r="K171" s="101"/>
      <c r="L171" s="404">
        <f t="shared" si="19"/>
        <v>0</v>
      </c>
      <c r="M171" s="453"/>
      <c r="N171" s="69"/>
      <c r="O171" s="362" t="s">
        <v>735</v>
      </c>
      <c r="P171" s="362" t="s">
        <v>751</v>
      </c>
      <c r="Q171" s="339"/>
    </row>
    <row r="172" spans="1:17" s="336" customFormat="1" ht="112.5">
      <c r="A172" s="240"/>
      <c r="B172" s="319">
        <f t="shared" si="16"/>
        <v>0</v>
      </c>
      <c r="C172" s="158"/>
      <c r="D172" s="398" t="s">
        <v>752</v>
      </c>
      <c r="E172" s="362" t="str">
        <v>Coal seam gas, Appraisal / development, &gt; 4 wells well</v>
      </c>
      <c r="F172" s="350"/>
      <c r="G172" s="353"/>
      <c r="H172" s="19"/>
      <c r="I172" s="362" t="s">
        <v>705</v>
      </c>
      <c r="J172" s="361">
        <v>48730.103376215964</v>
      </c>
      <c r="K172" s="101"/>
      <c r="L172" s="404">
        <f t="shared" si="19"/>
        <v>0</v>
      </c>
      <c r="M172" s="453"/>
      <c r="N172" s="69"/>
      <c r="O172" s="362" t="s">
        <v>735</v>
      </c>
      <c r="P172" s="362" t="s">
        <v>753</v>
      </c>
      <c r="Q172" s="339"/>
    </row>
    <row r="173" spans="1:17" s="336" customFormat="1" ht="101.25">
      <c r="A173" s="240"/>
      <c r="B173" s="319">
        <f t="shared" si="16"/>
        <v>0</v>
      </c>
      <c r="C173" s="158"/>
      <c r="D173" s="398" t="s">
        <v>754</v>
      </c>
      <c r="E173" s="362" t="str">
        <v>Coal seam gas, Operation / Production, &gt; 4 wells well</v>
      </c>
      <c r="F173" s="350"/>
      <c r="G173" s="353"/>
      <c r="H173" s="19"/>
      <c r="I173" s="362" t="s">
        <v>705</v>
      </c>
      <c r="J173" s="361">
        <v>28654.962026160796</v>
      </c>
      <c r="K173" s="101"/>
      <c r="L173" s="404">
        <f t="shared" si="19"/>
        <v>0</v>
      </c>
      <c r="M173" s="453"/>
      <c r="N173" s="69"/>
      <c r="O173" s="362" t="s">
        <v>735</v>
      </c>
      <c r="P173" s="362" t="s">
        <v>755</v>
      </c>
      <c r="Q173" s="339"/>
    </row>
    <row r="174" spans="1:17" s="336" customFormat="1" ht="67.5">
      <c r="A174" s="240"/>
      <c r="B174" s="319">
        <f t="shared" si="16"/>
        <v>0</v>
      </c>
      <c r="C174" s="158"/>
      <c r="D174" s="398" t="s">
        <v>756</v>
      </c>
      <c r="E174" s="362" t="str">
        <v>Tight / shale gas, Plugged and abandoned, Single well</v>
      </c>
      <c r="F174" s="350"/>
      <c r="G174" s="353"/>
      <c r="H174" s="19"/>
      <c r="I174" s="362" t="s">
        <v>705</v>
      </c>
      <c r="J174" s="361">
        <v>679.88452763824785</v>
      </c>
      <c r="K174" s="101"/>
      <c r="L174" s="404">
        <f t="shared" si="19"/>
        <v>0</v>
      </c>
      <c r="M174" s="453"/>
      <c r="N174" s="69"/>
      <c r="O174" s="362" t="s">
        <v>735</v>
      </c>
      <c r="P174" s="362" t="s">
        <v>740</v>
      </c>
      <c r="Q174" s="339"/>
    </row>
    <row r="175" spans="1:17" s="336" customFormat="1" ht="67.5">
      <c r="A175" s="240"/>
      <c r="B175" s="319">
        <f t="shared" si="16"/>
        <v>0</v>
      </c>
      <c r="C175" s="158"/>
      <c r="D175" s="398" t="s">
        <v>757</v>
      </c>
      <c r="E175" s="362" t="str">
        <v>Tight / shale gas, Suspended, Single well</v>
      </c>
      <c r="F175" s="350"/>
      <c r="G175" s="353"/>
      <c r="H175" s="19"/>
      <c r="I175" s="362" t="s">
        <v>705</v>
      </c>
      <c r="J175" s="361">
        <v>1674.501517474911</v>
      </c>
      <c r="K175" s="101"/>
      <c r="L175" s="404">
        <f t="shared" si="19"/>
        <v>0</v>
      </c>
      <c r="M175" s="453"/>
      <c r="N175" s="69"/>
      <c r="O175" s="362" t="s">
        <v>735</v>
      </c>
      <c r="P175" s="362" t="s">
        <v>728</v>
      </c>
      <c r="Q175" s="339"/>
    </row>
    <row r="176" spans="1:17" s="336" customFormat="1" ht="78.75">
      <c r="A176" s="240"/>
      <c r="B176" s="319">
        <f t="shared" si="16"/>
        <v>0</v>
      </c>
      <c r="C176" s="158"/>
      <c r="D176" s="398" t="s">
        <v>758</v>
      </c>
      <c r="E176" s="362" t="str">
        <v>Tight / shale gas, Shut-in, Single well</v>
      </c>
      <c r="F176" s="350"/>
      <c r="G176" s="353"/>
      <c r="H176" s="19"/>
      <c r="I176" s="362" t="s">
        <v>705</v>
      </c>
      <c r="J176" s="361">
        <v>8642.9491940787648</v>
      </c>
      <c r="K176" s="101"/>
      <c r="L176" s="404">
        <f t="shared" ref="L176:L177" si="20">IF(K176="",J176,K176)*H176</f>
        <v>0</v>
      </c>
      <c r="M176" s="453"/>
      <c r="N176" s="69"/>
      <c r="O176" s="362" t="s">
        <v>735</v>
      </c>
      <c r="P176" s="362" t="s">
        <v>759</v>
      </c>
      <c r="Q176" s="339"/>
    </row>
    <row r="177" spans="1:17" s="336" customFormat="1" ht="101.25">
      <c r="A177" s="240"/>
      <c r="B177" s="319">
        <f t="shared" si="16"/>
        <v>0</v>
      </c>
      <c r="C177" s="158"/>
      <c r="D177" s="398" t="s">
        <v>760</v>
      </c>
      <c r="E177" s="362" t="str">
        <v>Tight / shale gas, Appraisal / development, Single well</v>
      </c>
      <c r="F177" s="350"/>
      <c r="G177" s="353"/>
      <c r="H177" s="19"/>
      <c r="I177" s="362" t="s">
        <v>705</v>
      </c>
      <c r="J177" s="361">
        <v>25403.393520706544</v>
      </c>
      <c r="K177" s="101"/>
      <c r="L177" s="404">
        <f t="shared" si="20"/>
        <v>0</v>
      </c>
      <c r="M177" s="453"/>
      <c r="N177" s="69"/>
      <c r="O177" s="362" t="s">
        <v>735</v>
      </c>
      <c r="P177" s="362" t="s">
        <v>761</v>
      </c>
      <c r="Q177" s="339"/>
    </row>
    <row r="178" spans="1:17" s="336" customFormat="1" ht="90">
      <c r="A178" s="240"/>
      <c r="B178" s="319">
        <f t="shared" si="16"/>
        <v>0</v>
      </c>
      <c r="C178" s="158"/>
      <c r="D178" s="398" t="s">
        <v>762</v>
      </c>
      <c r="E178" s="362" t="str">
        <v>Tight / shale gas, Operation / Production, Single well</v>
      </c>
      <c r="F178" s="350"/>
      <c r="G178" s="353"/>
      <c r="H178" s="19"/>
      <c r="I178" s="362" t="s">
        <v>705</v>
      </c>
      <c r="J178" s="361">
        <v>8395.6103748950773</v>
      </c>
      <c r="K178" s="101"/>
      <c r="L178" s="404">
        <f t="shared" ref="L178:L180" si="21">IF(K178="",J178,K178)*H178</f>
        <v>0</v>
      </c>
      <c r="M178" s="453"/>
      <c r="N178" s="69"/>
      <c r="O178" s="362" t="s">
        <v>735</v>
      </c>
      <c r="P178" s="362" t="s">
        <v>763</v>
      </c>
      <c r="Q178" s="339"/>
    </row>
    <row r="179" spans="1:17" s="336" customFormat="1" ht="112.5">
      <c r="A179" s="240"/>
      <c r="B179" s="319">
        <f t="shared" si="16"/>
        <v>0</v>
      </c>
      <c r="C179" s="158"/>
      <c r="D179" s="398" t="s">
        <v>764</v>
      </c>
      <c r="E179" s="362" t="str">
        <v>Tight / shale gas, Operation / Production, &lt;= 4 wells well</v>
      </c>
      <c r="F179" s="350"/>
      <c r="G179" s="353"/>
      <c r="H179" s="19"/>
      <c r="I179" s="362" t="s">
        <v>705</v>
      </c>
      <c r="J179" s="361">
        <v>18640.781330491485</v>
      </c>
      <c r="K179" s="101"/>
      <c r="L179" s="404">
        <f t="shared" si="21"/>
        <v>0</v>
      </c>
      <c r="M179" s="453"/>
      <c r="N179" s="69"/>
      <c r="O179" s="362" t="s">
        <v>735</v>
      </c>
      <c r="P179" s="362" t="s">
        <v>749</v>
      </c>
      <c r="Q179" s="339"/>
    </row>
    <row r="180" spans="1:17" s="336" customFormat="1" ht="101.25">
      <c r="A180" s="240"/>
      <c r="B180" s="319">
        <f t="shared" si="16"/>
        <v>0</v>
      </c>
      <c r="C180" s="158"/>
      <c r="D180" s="398" t="s">
        <v>765</v>
      </c>
      <c r="E180" s="362" t="str">
        <v>Tight / shale gas, Operation / Production, &gt; 4 wells well</v>
      </c>
      <c r="F180" s="350"/>
      <c r="G180" s="353"/>
      <c r="H180" s="19"/>
      <c r="I180" s="362" t="s">
        <v>705</v>
      </c>
      <c r="J180" s="361">
        <v>28161.439239970648</v>
      </c>
      <c r="K180" s="101"/>
      <c r="L180" s="404">
        <f t="shared" si="21"/>
        <v>0</v>
      </c>
      <c r="M180" s="453"/>
      <c r="N180" s="69"/>
      <c r="O180" s="362" t="s">
        <v>735</v>
      </c>
      <c r="P180" s="362" t="s">
        <v>751</v>
      </c>
      <c r="Q180" s="339"/>
    </row>
    <row r="181" spans="1:17" s="336" customFormat="1" ht="67.5">
      <c r="A181" s="240"/>
      <c r="B181" s="319">
        <f t="shared" si="16"/>
        <v>0</v>
      </c>
      <c r="C181" s="158"/>
      <c r="D181" s="398" t="s">
        <v>766</v>
      </c>
      <c r="E181" s="362" t="str">
        <f>Lists!C246</f>
        <v>Conventional oil, Plugged and abandoned, Single well - arid</v>
      </c>
      <c r="F181" s="350"/>
      <c r="G181" s="353"/>
      <c r="H181" s="19"/>
      <c r="I181" s="362" t="s">
        <v>705</v>
      </c>
      <c r="J181" s="361">
        <v>479.88452763824785</v>
      </c>
      <c r="K181" s="101"/>
      <c r="L181" s="404">
        <f t="shared" ref="L181" si="22">IF(K181="",J181,K181)*H181</f>
        <v>0</v>
      </c>
      <c r="M181" s="453"/>
      <c r="N181" s="69"/>
      <c r="O181" s="362" t="s">
        <v>767</v>
      </c>
      <c r="P181" s="362" t="s">
        <v>768</v>
      </c>
      <c r="Q181" s="339"/>
    </row>
    <row r="182" spans="1:17" s="336" customFormat="1" ht="67.5">
      <c r="A182" s="240"/>
      <c r="B182" s="319">
        <f t="shared" si="16"/>
        <v>0</v>
      </c>
      <c r="C182" s="158"/>
      <c r="D182" s="398" t="s">
        <v>769</v>
      </c>
      <c r="E182" s="362" t="str">
        <f>Lists!C247</f>
        <v>Conventional oil, Suspended, Single well - arid</v>
      </c>
      <c r="F182" s="350"/>
      <c r="G182" s="353"/>
      <c r="H182" s="19"/>
      <c r="I182" s="362" t="s">
        <v>705</v>
      </c>
      <c r="J182" s="361">
        <v>1528.3985253123592</v>
      </c>
      <c r="K182" s="101"/>
      <c r="L182" s="404">
        <f t="shared" ref="L182" si="23">IF(K182="",J182,K182)*H182</f>
        <v>0</v>
      </c>
      <c r="M182" s="453"/>
      <c r="N182" s="69"/>
      <c r="O182" s="362" t="s">
        <v>767</v>
      </c>
      <c r="P182" s="362" t="s">
        <v>770</v>
      </c>
      <c r="Q182" s="339"/>
    </row>
    <row r="183" spans="1:17" s="336" customFormat="1" ht="67.5">
      <c r="A183" s="240"/>
      <c r="B183" s="319">
        <f t="shared" si="16"/>
        <v>0</v>
      </c>
      <c r="C183" s="158"/>
      <c r="D183" s="398" t="s">
        <v>771</v>
      </c>
      <c r="E183" s="362" t="str">
        <f>Lists!C248</f>
        <v>Conventional oil, Shut-in, Single well - arid</v>
      </c>
      <c r="F183" s="350"/>
      <c r="G183" s="353"/>
      <c r="H183" s="19"/>
      <c r="I183" s="362" t="s">
        <v>705</v>
      </c>
      <c r="J183" s="361">
        <v>9424.1686491555829</v>
      </c>
      <c r="K183" s="101"/>
      <c r="L183" s="404">
        <f t="shared" ref="L183" si="24">IF(K183="",J183,K183)*H183</f>
        <v>0</v>
      </c>
      <c r="M183" s="453"/>
      <c r="N183" s="69"/>
      <c r="O183" s="362" t="s">
        <v>767</v>
      </c>
      <c r="P183" s="362" t="s">
        <v>772</v>
      </c>
      <c r="Q183" s="339"/>
    </row>
    <row r="184" spans="1:17" s="336" customFormat="1" ht="67.5">
      <c r="A184" s="240"/>
      <c r="B184" s="319">
        <f t="shared" si="16"/>
        <v>0</v>
      </c>
      <c r="C184" s="158"/>
      <c r="D184" s="398" t="s">
        <v>773</v>
      </c>
      <c r="E184" s="362" t="str">
        <f>Lists!C249</f>
        <v>Conventional oil, Appraisal / development, Single well - arid</v>
      </c>
      <c r="F184" s="350"/>
      <c r="G184" s="353"/>
      <c r="H184" s="19"/>
      <c r="I184" s="362" t="s">
        <v>705</v>
      </c>
      <c r="J184" s="361">
        <v>12254.23665461145</v>
      </c>
      <c r="K184" s="101"/>
      <c r="L184" s="404">
        <f t="shared" ref="L184:L185" si="25">IF(K184="",J184,K184)*H184</f>
        <v>0</v>
      </c>
      <c r="M184" s="453"/>
      <c r="N184" s="69"/>
      <c r="O184" s="362" t="s">
        <v>767</v>
      </c>
      <c r="P184" s="362" t="s">
        <v>774</v>
      </c>
      <c r="Q184" s="339"/>
    </row>
    <row r="185" spans="1:17" s="336" customFormat="1" ht="67.5">
      <c r="A185" s="240"/>
      <c r="B185" s="319">
        <f t="shared" si="16"/>
        <v>0</v>
      </c>
      <c r="C185" s="158"/>
      <c r="D185" s="398" t="s">
        <v>775</v>
      </c>
      <c r="E185" s="362" t="str">
        <f>Lists!C250</f>
        <v>Conventional oil, Operation / Production, Single well, Beam Pump - arid</v>
      </c>
      <c r="F185" s="350"/>
      <c r="G185" s="353"/>
      <c r="H185" s="19"/>
      <c r="I185" s="362" t="s">
        <v>705</v>
      </c>
      <c r="J185" s="361">
        <v>17980.945978575393</v>
      </c>
      <c r="K185" s="101"/>
      <c r="L185" s="404">
        <f t="shared" si="25"/>
        <v>0</v>
      </c>
      <c r="M185" s="453"/>
      <c r="N185" s="69"/>
      <c r="O185" s="362" t="s">
        <v>767</v>
      </c>
      <c r="P185" s="362" t="s">
        <v>776</v>
      </c>
      <c r="Q185" s="339"/>
    </row>
    <row r="186" spans="1:17" s="336" customFormat="1" ht="90">
      <c r="A186" s="240"/>
      <c r="B186" s="319">
        <f t="shared" si="16"/>
        <v>0</v>
      </c>
      <c r="C186" s="158"/>
      <c r="D186" s="398" t="s">
        <v>777</v>
      </c>
      <c r="E186" s="362" t="str">
        <f>Lists!C251</f>
        <v>Conventional oil, Operation / Production, Single well, No Beam Pump - arid</v>
      </c>
      <c r="F186" s="350"/>
      <c r="G186" s="353"/>
      <c r="H186" s="19"/>
      <c r="I186" s="362" t="s">
        <v>705</v>
      </c>
      <c r="J186" s="361">
        <v>14637.484377387667</v>
      </c>
      <c r="K186" s="101"/>
      <c r="L186" s="404">
        <f t="shared" ref="L186" si="26">IF(K186="",J186,K186)*H186</f>
        <v>0</v>
      </c>
      <c r="M186" s="453"/>
      <c r="N186" s="69"/>
      <c r="O186" s="362" t="s">
        <v>778</v>
      </c>
      <c r="P186" s="362" t="s">
        <v>779</v>
      </c>
      <c r="Q186" s="339"/>
    </row>
    <row r="187" spans="1:17" s="336" customFormat="1" ht="67.5">
      <c r="A187" s="240"/>
      <c r="B187" s="319">
        <f t="shared" si="16"/>
        <v>0</v>
      </c>
      <c r="C187" s="158"/>
      <c r="D187" s="398" t="s">
        <v>780</v>
      </c>
      <c r="E187" s="362" t="str">
        <f>Lists!C252</f>
        <v>Conventional oil, Beam Pump only - arid</v>
      </c>
      <c r="F187" s="350"/>
      <c r="G187" s="353"/>
      <c r="H187" s="19"/>
      <c r="I187" s="362" t="s">
        <v>705</v>
      </c>
      <c r="J187" s="361">
        <v>3143.4616011877265</v>
      </c>
      <c r="K187" s="101"/>
      <c r="L187" s="404">
        <f t="shared" ref="L187" si="27">IF(K187="",J187,K187)*H187</f>
        <v>0</v>
      </c>
      <c r="M187" s="453"/>
      <c r="N187" s="69"/>
      <c r="O187" s="362" t="s">
        <v>767</v>
      </c>
      <c r="P187" s="362" t="s">
        <v>781</v>
      </c>
      <c r="Q187" s="339"/>
    </row>
    <row r="188" spans="1:17" s="336" customFormat="1" ht="67.5">
      <c r="A188" s="240"/>
      <c r="B188" s="319">
        <f t="shared" si="16"/>
        <v>0</v>
      </c>
      <c r="C188" s="158"/>
      <c r="D188" s="398" t="s">
        <v>782</v>
      </c>
      <c r="E188" s="362" t="str">
        <f>Lists!C253</f>
        <v>Conventional gas, Plugged and abandoned, Single well - arid</v>
      </c>
      <c r="F188" s="350"/>
      <c r="G188" s="353"/>
      <c r="H188" s="19"/>
      <c r="I188" s="362" t="s">
        <v>705</v>
      </c>
      <c r="J188" s="361">
        <v>479.88452763824785</v>
      </c>
      <c r="K188" s="101"/>
      <c r="L188" s="404">
        <f t="shared" ref="L188" si="28">IF(K188="",J188,K188)*H188</f>
        <v>0</v>
      </c>
      <c r="M188" s="453"/>
      <c r="N188" s="69"/>
      <c r="O188" s="362" t="s">
        <v>767</v>
      </c>
      <c r="P188" s="362" t="s">
        <v>783</v>
      </c>
      <c r="Q188" s="339"/>
    </row>
    <row r="189" spans="1:17" s="336" customFormat="1" ht="67.5">
      <c r="A189" s="240"/>
      <c r="B189" s="319">
        <f t="shared" si="16"/>
        <v>0</v>
      </c>
      <c r="C189" s="158"/>
      <c r="D189" s="398" t="s">
        <v>784</v>
      </c>
      <c r="E189" s="362" t="str">
        <f>Lists!C254</f>
        <v>Conventional gas, Suspended, Single well - arid</v>
      </c>
      <c r="F189" s="350"/>
      <c r="G189" s="353"/>
      <c r="H189" s="19"/>
      <c r="I189" s="362" t="s">
        <v>705</v>
      </c>
      <c r="J189" s="361">
        <v>717.21651059099804</v>
      </c>
      <c r="K189" s="101"/>
      <c r="L189" s="404">
        <f t="shared" ref="L189" si="29">IF(K189="",J189,K189)*H189</f>
        <v>0</v>
      </c>
      <c r="M189" s="453"/>
      <c r="N189" s="69"/>
      <c r="O189" s="362" t="s">
        <v>767</v>
      </c>
      <c r="P189" s="362" t="s">
        <v>785</v>
      </c>
      <c r="Q189" s="339"/>
    </row>
    <row r="190" spans="1:17" s="336" customFormat="1" ht="67.5">
      <c r="A190" s="240"/>
      <c r="B190" s="319">
        <f t="shared" si="16"/>
        <v>0</v>
      </c>
      <c r="C190" s="158"/>
      <c r="D190" s="398" t="s">
        <v>786</v>
      </c>
      <c r="E190" s="362" t="str">
        <f>Lists!C255</f>
        <v>Conventional gas, Shut-in, Single well - arid</v>
      </c>
      <c r="F190" s="350"/>
      <c r="G190" s="353"/>
      <c r="H190" s="19"/>
      <c r="I190" s="362" t="s">
        <v>705</v>
      </c>
      <c r="J190" s="361">
        <v>3443.4482662316937</v>
      </c>
      <c r="K190" s="101"/>
      <c r="L190" s="404">
        <f t="shared" ref="L190:L191" si="30">IF(K190="",J190,K190)*H190</f>
        <v>0</v>
      </c>
      <c r="M190" s="453"/>
      <c r="N190" s="69"/>
      <c r="O190" s="362" t="s">
        <v>767</v>
      </c>
      <c r="P190" s="362" t="s">
        <v>787</v>
      </c>
      <c r="Q190" s="339"/>
    </row>
    <row r="191" spans="1:17" s="336" customFormat="1" ht="67.5">
      <c r="A191" s="240"/>
      <c r="B191" s="319">
        <f t="shared" si="16"/>
        <v>0</v>
      </c>
      <c r="C191" s="158"/>
      <c r="D191" s="398" t="s">
        <v>788</v>
      </c>
      <c r="E191" s="362" t="str">
        <f>Lists!C256</f>
        <v>Conventional gas, Appraisal / development, Single well - arid</v>
      </c>
      <c r="F191" s="350"/>
      <c r="G191" s="353"/>
      <c r="H191" s="19"/>
      <c r="I191" s="362" t="s">
        <v>705</v>
      </c>
      <c r="J191" s="361">
        <v>5294.8990719411167</v>
      </c>
      <c r="K191" s="101"/>
      <c r="L191" s="404">
        <f t="shared" si="30"/>
        <v>0</v>
      </c>
      <c r="M191" s="453"/>
      <c r="N191" s="69"/>
      <c r="O191" s="362" t="s">
        <v>767</v>
      </c>
      <c r="P191" s="362" t="s">
        <v>789</v>
      </c>
      <c r="Q191" s="339"/>
    </row>
    <row r="192" spans="1:17" s="336" customFormat="1" ht="67.5">
      <c r="A192" s="240"/>
      <c r="B192" s="319">
        <f t="shared" si="16"/>
        <v>0</v>
      </c>
      <c r="C192" s="158"/>
      <c r="D192" s="398" t="s">
        <v>790</v>
      </c>
      <c r="E192" s="362" t="str">
        <f>Lists!C257</f>
        <v>Conventional gas, Operation / Production, Single well - arid</v>
      </c>
      <c r="F192" s="350"/>
      <c r="G192" s="353"/>
      <c r="H192" s="19"/>
      <c r="I192" s="362" t="s">
        <v>705</v>
      </c>
      <c r="J192" s="361">
        <v>3443.4482662316937</v>
      </c>
      <c r="K192" s="101"/>
      <c r="L192" s="404">
        <f t="shared" ref="L192" si="31">IF(K192="",J192,K192)*H192</f>
        <v>0</v>
      </c>
      <c r="M192" s="453"/>
      <c r="N192" s="69"/>
      <c r="O192" s="362" t="s">
        <v>767</v>
      </c>
      <c r="P192" s="362" t="s">
        <v>791</v>
      </c>
      <c r="Q192" s="339"/>
    </row>
    <row r="193" spans="1:17" s="336" customFormat="1" ht="78.75">
      <c r="A193" s="240"/>
      <c r="B193" s="319">
        <f t="shared" si="16"/>
        <v>0</v>
      </c>
      <c r="C193" s="158"/>
      <c r="D193" s="398" t="s">
        <v>792</v>
      </c>
      <c r="E193" s="362" t="str">
        <f>Lists!C258</f>
        <v>Conventional gas, Operation / Production, &lt;= 4 wells well - arid</v>
      </c>
      <c r="F193" s="350"/>
      <c r="G193" s="353"/>
      <c r="H193" s="19"/>
      <c r="I193" s="362" t="s">
        <v>705</v>
      </c>
      <c r="J193" s="361">
        <v>8455.32110298115</v>
      </c>
      <c r="K193" s="101"/>
      <c r="L193" s="404">
        <f t="shared" ref="L193" si="32">IF(K193="",J193,K193)*H193</f>
        <v>0</v>
      </c>
      <c r="M193" s="453"/>
      <c r="N193" s="69"/>
      <c r="O193" s="362" t="s">
        <v>767</v>
      </c>
      <c r="P193" s="362" t="s">
        <v>793</v>
      </c>
      <c r="Q193" s="339"/>
    </row>
    <row r="194" spans="1:17" s="336" customFormat="1" ht="78.75">
      <c r="A194" s="240"/>
      <c r="B194" s="319">
        <f t="shared" si="16"/>
        <v>0</v>
      </c>
      <c r="C194" s="158"/>
      <c r="D194" s="398" t="s">
        <v>794</v>
      </c>
      <c r="E194" s="362" t="str">
        <f>Lists!C259</f>
        <v>Conventional gas, Operation / Production, &gt; 4 wells well - arid</v>
      </c>
      <c r="F194" s="350"/>
      <c r="G194" s="353"/>
      <c r="H194" s="19"/>
      <c r="I194" s="362" t="s">
        <v>705</v>
      </c>
      <c r="J194" s="361">
        <v>13376.888344846031</v>
      </c>
      <c r="K194" s="101"/>
      <c r="L194" s="404">
        <f t="shared" ref="L194" si="33">IF(K194="",J194,K194)*H194</f>
        <v>0</v>
      </c>
      <c r="M194" s="453"/>
      <c r="N194" s="69"/>
      <c r="O194" s="362" t="s">
        <v>767</v>
      </c>
      <c r="P194" s="362" t="s">
        <v>795</v>
      </c>
      <c r="Q194" s="339"/>
    </row>
    <row r="195" spans="1:17" s="336" customFormat="1" ht="67.5">
      <c r="A195" s="240"/>
      <c r="B195" s="319">
        <f t="shared" si="16"/>
        <v>0</v>
      </c>
      <c r="C195" s="158"/>
      <c r="D195" s="398" t="s">
        <v>796</v>
      </c>
      <c r="E195" s="362" t="str">
        <f>Lists!C260</f>
        <v>Coal seam gas, Plugged and abandoned, Single well - arid</v>
      </c>
      <c r="F195" s="350"/>
      <c r="G195" s="353"/>
      <c r="H195" s="19"/>
      <c r="I195" s="362" t="s">
        <v>705</v>
      </c>
      <c r="J195" s="361">
        <v>479.88452763824785</v>
      </c>
      <c r="K195" s="101"/>
      <c r="L195" s="404">
        <f t="shared" ref="L195" si="34">IF(K195="",J195,K195)*H195</f>
        <v>0</v>
      </c>
      <c r="M195" s="453"/>
      <c r="N195" s="69"/>
      <c r="O195" s="362" t="s">
        <v>767</v>
      </c>
      <c r="P195" s="362" t="s">
        <v>797</v>
      </c>
      <c r="Q195" s="339"/>
    </row>
    <row r="196" spans="1:17" s="336" customFormat="1" ht="67.5">
      <c r="A196" s="240"/>
      <c r="B196" s="319">
        <f t="shared" si="16"/>
        <v>0</v>
      </c>
      <c r="C196" s="158"/>
      <c r="D196" s="398" t="s">
        <v>798</v>
      </c>
      <c r="E196" s="362" t="str">
        <f>Lists!C261</f>
        <v>Coal seam gas, Suspended, Single well - arid</v>
      </c>
      <c r="F196" s="350"/>
      <c r="G196" s="353"/>
      <c r="H196" s="19"/>
      <c r="I196" s="362" t="s">
        <v>705</v>
      </c>
      <c r="J196" s="361">
        <v>1474.501517474911</v>
      </c>
      <c r="K196" s="101"/>
      <c r="L196" s="404">
        <f t="shared" ref="L196" si="35">IF(K196="",J196,K196)*H196</f>
        <v>0</v>
      </c>
      <c r="M196" s="453"/>
      <c r="N196" s="69"/>
      <c r="O196" s="362" t="s">
        <v>767</v>
      </c>
      <c r="P196" s="362" t="s">
        <v>785</v>
      </c>
      <c r="Q196" s="339"/>
    </row>
    <row r="197" spans="1:17" s="336" customFormat="1" ht="90">
      <c r="A197" s="240"/>
      <c r="B197" s="319">
        <f t="shared" si="16"/>
        <v>0</v>
      </c>
      <c r="C197" s="158"/>
      <c r="D197" s="398" t="s">
        <v>799</v>
      </c>
      <c r="E197" s="362" t="str">
        <f>Lists!C262</f>
        <v>Coal seam gas, Shut-in, Single well - arid</v>
      </c>
      <c r="F197" s="350"/>
      <c r="G197" s="353"/>
      <c r="H197" s="19"/>
      <c r="I197" s="362" t="s">
        <v>705</v>
      </c>
      <c r="J197" s="361">
        <v>8442.9491940787648</v>
      </c>
      <c r="K197" s="101"/>
      <c r="L197" s="404">
        <f t="shared" ref="L197" si="36">IF(K197="",J197,K197)*H197</f>
        <v>0</v>
      </c>
      <c r="M197" s="453"/>
      <c r="N197" s="69"/>
      <c r="O197" s="362" t="s">
        <v>767</v>
      </c>
      <c r="P197" s="362" t="s">
        <v>800</v>
      </c>
      <c r="Q197" s="339"/>
    </row>
    <row r="198" spans="1:17" s="336" customFormat="1" ht="101.25">
      <c r="A198" s="240"/>
      <c r="B198" s="319">
        <f t="shared" si="16"/>
        <v>0</v>
      </c>
      <c r="C198" s="158"/>
      <c r="D198" s="398" t="s">
        <v>801</v>
      </c>
      <c r="E198" s="362" t="str">
        <f>Lists!C263</f>
        <v>Coal seam gas, Appraisal / development, Single well - arid</v>
      </c>
      <c r="F198" s="350"/>
      <c r="G198" s="353"/>
      <c r="H198" s="19"/>
      <c r="I198" s="362" t="s">
        <v>705</v>
      </c>
      <c r="J198" s="361">
        <v>10674.518749561234</v>
      </c>
      <c r="K198" s="101"/>
      <c r="L198" s="404">
        <f t="shared" ref="L198" si="37">IF(K198="",J198,K198)*H198</f>
        <v>0</v>
      </c>
      <c r="M198" s="453"/>
      <c r="N198" s="69"/>
      <c r="O198" s="362" t="s">
        <v>767</v>
      </c>
      <c r="P198" s="362" t="s">
        <v>802</v>
      </c>
      <c r="Q198" s="339"/>
    </row>
    <row r="199" spans="1:17" s="336" customFormat="1" ht="90">
      <c r="A199" s="240"/>
      <c r="B199" s="319">
        <f t="shared" si="16"/>
        <v>0</v>
      </c>
      <c r="C199" s="158"/>
      <c r="D199" s="398" t="s">
        <v>803</v>
      </c>
      <c r="E199" s="362" t="str">
        <f>Lists!C264</f>
        <v>Coal seam gas, Operation / Production, Single well - arid</v>
      </c>
      <c r="F199" s="350"/>
      <c r="G199" s="353"/>
      <c r="H199" s="19"/>
      <c r="I199" s="362" t="s">
        <v>705</v>
      </c>
      <c r="J199" s="361">
        <v>7755.0395475953992</v>
      </c>
      <c r="K199" s="101"/>
      <c r="L199" s="404">
        <f t="shared" ref="L199" si="38">IF(K199="",J199,K199)*H199</f>
        <v>0</v>
      </c>
      <c r="M199" s="453"/>
      <c r="N199" s="69"/>
      <c r="O199" s="362" t="s">
        <v>767</v>
      </c>
      <c r="P199" s="362" t="s">
        <v>804</v>
      </c>
      <c r="Q199" s="339"/>
    </row>
    <row r="200" spans="1:17" s="336" customFormat="1" ht="112.5">
      <c r="A200" s="240"/>
      <c r="B200" s="319">
        <f t="shared" si="16"/>
        <v>0</v>
      </c>
      <c r="C200" s="158"/>
      <c r="D200" s="398" t="s">
        <v>805</v>
      </c>
      <c r="E200" s="362" t="str">
        <f>Lists!C265</f>
        <v>Coal seam gas, Appraisal / development, &lt;= 4 wells well - arid</v>
      </c>
      <c r="F200" s="350"/>
      <c r="G200" s="353"/>
      <c r="H200" s="19"/>
      <c r="I200" s="362" t="s">
        <v>705</v>
      </c>
      <c r="J200" s="361">
        <v>21467.819494737232</v>
      </c>
      <c r="K200" s="101"/>
      <c r="L200" s="404">
        <f t="shared" ref="L200" si="39">IF(K200="",J200,K200)*H200</f>
        <v>0</v>
      </c>
      <c r="M200" s="453"/>
      <c r="N200" s="69"/>
      <c r="O200" s="362" t="s">
        <v>767</v>
      </c>
      <c r="P200" s="362" t="s">
        <v>806</v>
      </c>
      <c r="Q200" s="339"/>
    </row>
    <row r="201" spans="1:17" s="336" customFormat="1" ht="101.25">
      <c r="A201" s="240"/>
      <c r="B201" s="319">
        <f t="shared" si="16"/>
        <v>0</v>
      </c>
      <c r="C201" s="158"/>
      <c r="D201" s="398" t="s">
        <v>807</v>
      </c>
      <c r="E201" s="362" t="str">
        <f>Lists!C266</f>
        <v>Coal seam gas, Operation / Production, &lt;= 4 wells well - arid</v>
      </c>
      <c r="F201" s="350"/>
      <c r="G201" s="353"/>
      <c r="H201" s="19"/>
      <c r="I201" s="362" t="s">
        <v>705</v>
      </c>
      <c r="J201" s="361">
        <v>11822.03667992221</v>
      </c>
      <c r="K201" s="101"/>
      <c r="L201" s="404">
        <f t="shared" ref="L201" si="40">IF(K201="",J201,K201)*H201</f>
        <v>0</v>
      </c>
      <c r="M201" s="453"/>
      <c r="N201" s="69"/>
      <c r="O201" s="362" t="s">
        <v>767</v>
      </c>
      <c r="P201" s="362" t="s">
        <v>808</v>
      </c>
      <c r="Q201" s="339"/>
    </row>
    <row r="202" spans="1:17" s="336" customFormat="1" ht="112.5">
      <c r="A202" s="240"/>
      <c r="B202" s="319">
        <f t="shared" si="16"/>
        <v>0</v>
      </c>
      <c r="C202" s="158"/>
      <c r="D202" s="398" t="s">
        <v>809</v>
      </c>
      <c r="E202" s="362" t="str">
        <f>Lists!C267</f>
        <v>Coal seam gas, Appraisal / development, &gt; 4 wells well - arid</v>
      </c>
      <c r="F202" s="350"/>
      <c r="G202" s="353"/>
      <c r="H202" s="19"/>
      <c r="I202" s="362" t="s">
        <v>705</v>
      </c>
      <c r="J202" s="361">
        <v>36922.707733594871</v>
      </c>
      <c r="K202" s="101"/>
      <c r="L202" s="404">
        <f t="shared" ref="L202:L203" si="41">IF(K202="",J202,K202)*H202</f>
        <v>0</v>
      </c>
      <c r="M202" s="453"/>
      <c r="N202" s="69"/>
      <c r="O202" s="362" t="s">
        <v>767</v>
      </c>
      <c r="P202" s="362" t="s">
        <v>810</v>
      </c>
      <c r="Q202" s="339"/>
    </row>
    <row r="203" spans="1:17" s="336" customFormat="1" ht="101.25">
      <c r="A203" s="240"/>
      <c r="B203" s="319">
        <f t="shared" si="16"/>
        <v>0</v>
      </c>
      <c r="C203" s="158"/>
      <c r="D203" s="398" t="s">
        <v>811</v>
      </c>
      <c r="E203" s="362" t="str">
        <f>Lists!C268</f>
        <v>Coal seam gas, Operation / Production, &gt; 4 wells well - arid</v>
      </c>
      <c r="F203" s="350"/>
      <c r="G203" s="353"/>
      <c r="H203" s="19"/>
      <c r="I203" s="362" t="s">
        <v>705</v>
      </c>
      <c r="J203" s="361">
        <v>21490.524640588141</v>
      </c>
      <c r="K203" s="101"/>
      <c r="L203" s="404">
        <f t="shared" si="41"/>
        <v>0</v>
      </c>
      <c r="M203" s="453"/>
      <c r="N203" s="69"/>
      <c r="O203" s="362" t="s">
        <v>767</v>
      </c>
      <c r="P203" s="362" t="s">
        <v>812</v>
      </c>
      <c r="Q203" s="339"/>
    </row>
    <row r="204" spans="1:17" s="336" customFormat="1" ht="67.5">
      <c r="A204" s="240"/>
      <c r="B204" s="319">
        <f t="shared" si="16"/>
        <v>0</v>
      </c>
      <c r="C204" s="158"/>
      <c r="D204" s="398" t="s">
        <v>813</v>
      </c>
      <c r="E204" s="362" t="str">
        <f>Lists!C269</f>
        <v>Tight / shale gas, Plugged and abandoned, Single well - arid</v>
      </c>
      <c r="F204" s="350"/>
      <c r="G204" s="353"/>
      <c r="H204" s="19"/>
      <c r="I204" s="362" t="s">
        <v>705</v>
      </c>
      <c r="J204" s="361">
        <v>479.88452763824785</v>
      </c>
      <c r="K204" s="101"/>
      <c r="L204" s="404">
        <f t="shared" ref="L204" si="42">IF(K204="",J204,K204)*H204</f>
        <v>0</v>
      </c>
      <c r="M204" s="453"/>
      <c r="N204" s="69"/>
      <c r="O204" s="362" t="s">
        <v>767</v>
      </c>
      <c r="P204" s="362" t="s">
        <v>814</v>
      </c>
      <c r="Q204" s="339"/>
    </row>
    <row r="205" spans="1:17" s="336" customFormat="1" ht="67.5">
      <c r="A205" s="240"/>
      <c r="B205" s="319">
        <f t="shared" si="16"/>
        <v>0</v>
      </c>
      <c r="C205" s="158"/>
      <c r="D205" s="398" t="s">
        <v>815</v>
      </c>
      <c r="E205" s="362" t="str">
        <f>Lists!C270</f>
        <v>Tight / shale gas, Suspended, Single well - arid</v>
      </c>
      <c r="F205" s="350"/>
      <c r="G205" s="353"/>
      <c r="H205" s="19"/>
      <c r="I205" s="362" t="s">
        <v>705</v>
      </c>
      <c r="J205" s="361">
        <v>1474.501517474911</v>
      </c>
      <c r="K205" s="101"/>
      <c r="L205" s="404">
        <f t="shared" ref="L205" si="43">IF(K205="",J205,K205)*H205</f>
        <v>0</v>
      </c>
      <c r="M205" s="453"/>
      <c r="N205" s="69"/>
      <c r="O205" s="362" t="s">
        <v>767</v>
      </c>
      <c r="P205" s="362" t="s">
        <v>785</v>
      </c>
      <c r="Q205" s="339"/>
    </row>
    <row r="206" spans="1:17" s="336" customFormat="1" ht="78.75">
      <c r="A206" s="240"/>
      <c r="B206" s="319">
        <f t="shared" si="16"/>
        <v>0</v>
      </c>
      <c r="C206" s="158"/>
      <c r="D206" s="398" t="s">
        <v>816</v>
      </c>
      <c r="E206" s="362" t="str">
        <f>Lists!C271</f>
        <v>Tight / shale gas, Shut-in, Single well - arid</v>
      </c>
      <c r="F206" s="350"/>
      <c r="G206" s="353"/>
      <c r="H206" s="19"/>
      <c r="I206" s="362" t="s">
        <v>705</v>
      </c>
      <c r="J206" s="361">
        <v>8442.9491940787648</v>
      </c>
      <c r="K206" s="101"/>
      <c r="L206" s="404">
        <f t="shared" ref="L206:L208" si="44">IF(K206="",J206,K206)*H206</f>
        <v>0</v>
      </c>
      <c r="M206" s="453"/>
      <c r="N206" s="69"/>
      <c r="O206" s="362" t="s">
        <v>767</v>
      </c>
      <c r="P206" s="362" t="s">
        <v>817</v>
      </c>
      <c r="Q206" s="339"/>
    </row>
    <row r="207" spans="1:17" s="336" customFormat="1" ht="101.25">
      <c r="A207" s="240"/>
      <c r="B207" s="319">
        <f t="shared" si="16"/>
        <v>0</v>
      </c>
      <c r="C207" s="158"/>
      <c r="D207" s="398" t="s">
        <v>818</v>
      </c>
      <c r="E207" s="362" t="str">
        <f>Lists!C272</f>
        <v>Tight / shale gas, Appraisal / development, Single well - arid</v>
      </c>
      <c r="F207" s="350"/>
      <c r="G207" s="353"/>
      <c r="H207" s="19"/>
      <c r="I207" s="362" t="s">
        <v>705</v>
      </c>
      <c r="J207" s="361">
        <v>10674.518749561234</v>
      </c>
      <c r="K207" s="101"/>
      <c r="L207" s="404">
        <f t="shared" si="44"/>
        <v>0</v>
      </c>
      <c r="M207" s="453"/>
      <c r="N207" s="69"/>
      <c r="O207" s="362" t="s">
        <v>767</v>
      </c>
      <c r="P207" s="362" t="s">
        <v>819</v>
      </c>
      <c r="Q207" s="339"/>
    </row>
    <row r="208" spans="1:17" s="336" customFormat="1" ht="90">
      <c r="A208" s="240"/>
      <c r="B208" s="319">
        <f t="shared" si="16"/>
        <v>0</v>
      </c>
      <c r="C208" s="158"/>
      <c r="D208" s="398" t="s">
        <v>820</v>
      </c>
      <c r="E208" s="362" t="str">
        <f>Lists!C273</f>
        <v>Tight / shale gas, Operation / Production, Single well - arid</v>
      </c>
      <c r="F208" s="350"/>
      <c r="G208" s="353"/>
      <c r="H208" s="19"/>
      <c r="I208" s="362" t="s">
        <v>705</v>
      </c>
      <c r="J208" s="361">
        <v>7595.6103748950763</v>
      </c>
      <c r="K208" s="101"/>
      <c r="L208" s="404">
        <f t="shared" si="44"/>
        <v>0</v>
      </c>
      <c r="M208" s="453"/>
      <c r="N208" s="69"/>
      <c r="O208" s="362" t="s">
        <v>767</v>
      </c>
      <c r="P208" s="362" t="s">
        <v>821</v>
      </c>
      <c r="Q208" s="339"/>
    </row>
    <row r="209" spans="1:17" s="336" customFormat="1" ht="78.75">
      <c r="A209" s="240"/>
      <c r="B209" s="319">
        <f t="shared" si="16"/>
        <v>0</v>
      </c>
      <c r="C209" s="158"/>
      <c r="D209" s="398" t="s">
        <v>822</v>
      </c>
      <c r="E209" s="362" t="str">
        <f>Lists!C274</f>
        <v>Tight / shale gas, Operation / Production, &lt;= 4 wells well - arid</v>
      </c>
      <c r="F209" s="350"/>
      <c r="G209" s="353"/>
      <c r="H209" s="19"/>
      <c r="I209" s="362" t="s">
        <v>705</v>
      </c>
      <c r="J209" s="361">
        <v>11476.34394491883</v>
      </c>
      <c r="K209" s="101"/>
      <c r="L209" s="404">
        <f t="shared" ref="L209:L210" si="45">IF(K209="",J209,K209)*H209</f>
        <v>0</v>
      </c>
      <c r="M209" s="453"/>
      <c r="N209" s="69"/>
      <c r="O209" s="362" t="s">
        <v>767</v>
      </c>
      <c r="P209" s="362" t="s">
        <v>793</v>
      </c>
      <c r="Q209" s="339"/>
    </row>
    <row r="210" spans="1:17" s="336" customFormat="1" ht="78.75">
      <c r="A210" s="240"/>
      <c r="B210" s="319">
        <f t="shared" si="16"/>
        <v>0</v>
      </c>
      <c r="C210" s="158"/>
      <c r="D210" s="398" t="s">
        <v>823</v>
      </c>
      <c r="E210" s="362" t="str">
        <f>Lists!C275</f>
        <v>Tight / shale gas, Operation / Production, &gt; 4 wells well - arid</v>
      </c>
      <c r="F210" s="350"/>
      <c r="G210" s="353"/>
      <c r="H210" s="19"/>
      <c r="I210" s="362" t="s">
        <v>705</v>
      </c>
      <c r="J210" s="361">
        <v>20997.001854397993</v>
      </c>
      <c r="K210" s="101"/>
      <c r="L210" s="404">
        <f t="shared" si="45"/>
        <v>0</v>
      </c>
      <c r="M210" s="453"/>
      <c r="N210" s="69"/>
      <c r="O210" s="362" t="s">
        <v>767</v>
      </c>
      <c r="P210" s="362" t="s">
        <v>795</v>
      </c>
      <c r="Q210" s="339"/>
    </row>
    <row r="211" spans="1:17" s="336" customFormat="1" ht="56.25">
      <c r="A211" s="240"/>
      <c r="B211" s="319">
        <f t="shared" si="16"/>
        <v>0</v>
      </c>
      <c r="C211" s="158"/>
      <c r="D211" s="398" t="s">
        <v>824</v>
      </c>
      <c r="E211" s="362" t="str">
        <f>Lists!C280</f>
        <v>Lateral Insertion</v>
      </c>
      <c r="F211" s="350"/>
      <c r="G211" s="353"/>
      <c r="H211" s="19"/>
      <c r="I211" s="362" t="s">
        <v>825</v>
      </c>
      <c r="J211" s="361">
        <v>1449.7675884162818</v>
      </c>
      <c r="K211" s="101"/>
      <c r="L211" s="404">
        <f>IF(K211="",J211,K211)*H211</f>
        <v>0</v>
      </c>
      <c r="M211" s="453"/>
      <c r="N211" s="69"/>
      <c r="O211" s="362" t="s">
        <v>826</v>
      </c>
      <c r="P211" s="362" t="s">
        <v>827</v>
      </c>
      <c r="Q211" s="339"/>
    </row>
    <row r="212" spans="1:17" s="336" customFormat="1" ht="101.25">
      <c r="A212" s="240"/>
      <c r="B212" s="319">
        <f t="shared" si="16"/>
        <v>0</v>
      </c>
      <c r="C212" s="158"/>
      <c r="D212" s="398" t="s">
        <v>828</v>
      </c>
      <c r="E212" s="362" t="s">
        <v>829</v>
      </c>
      <c r="F212" s="350"/>
      <c r="G212" s="353"/>
      <c r="H212" s="19"/>
      <c r="I212" s="362" t="s">
        <v>830</v>
      </c>
      <c r="J212" s="361">
        <v>3350.3679579976401</v>
      </c>
      <c r="K212" s="101"/>
      <c r="L212" s="404">
        <f>IF(K212="",J212,K212)*H212</f>
        <v>0</v>
      </c>
      <c r="M212" s="453"/>
      <c r="N212" s="69"/>
      <c r="O212" s="362" t="s">
        <v>831</v>
      </c>
      <c r="P212" s="362" t="s">
        <v>832</v>
      </c>
      <c r="Q212" s="339"/>
    </row>
    <row r="213" spans="1:17" s="336" customFormat="1" ht="56.25">
      <c r="A213" s="240"/>
      <c r="B213" s="319">
        <f t="shared" si="16"/>
        <v>0</v>
      </c>
      <c r="C213" s="158"/>
      <c r="D213" s="398" t="s">
        <v>833</v>
      </c>
      <c r="E213" s="362" t="s">
        <v>834</v>
      </c>
      <c r="F213" s="350"/>
      <c r="G213" s="353"/>
      <c r="H213" s="19"/>
      <c r="I213" s="362" t="s">
        <v>513</v>
      </c>
      <c r="J213" s="361">
        <v>3480.9383380658664</v>
      </c>
      <c r="K213" s="101"/>
      <c r="L213" s="404">
        <f>IF(K213="",J213,K213)*H213</f>
        <v>0</v>
      </c>
      <c r="M213" s="453"/>
      <c r="N213" s="69"/>
      <c r="O213" s="362" t="s">
        <v>835</v>
      </c>
      <c r="P213" s="362" t="s">
        <v>836</v>
      </c>
      <c r="Q213" s="339"/>
    </row>
    <row r="214" spans="1:17" s="336" customFormat="1" ht="45">
      <c r="A214" s="240"/>
      <c r="B214" s="319">
        <f t="shared" si="16"/>
        <v>0</v>
      </c>
      <c r="C214" s="158"/>
      <c r="D214" s="398" t="s">
        <v>837</v>
      </c>
      <c r="E214" s="362" t="s">
        <v>838</v>
      </c>
      <c r="F214" s="350"/>
      <c r="G214" s="353"/>
      <c r="H214" s="19"/>
      <c r="I214" s="362" t="s">
        <v>839</v>
      </c>
      <c r="J214" s="361">
        <v>11550</v>
      </c>
      <c r="K214" s="101"/>
      <c r="L214" s="404">
        <f>IF(K214="",J214,K214)*H214</f>
        <v>0</v>
      </c>
      <c r="M214" s="453"/>
      <c r="N214" s="69"/>
      <c r="O214" s="362" t="s">
        <v>840</v>
      </c>
      <c r="P214" s="362" t="s">
        <v>841</v>
      </c>
      <c r="Q214" s="339"/>
    </row>
    <row r="215" spans="1:17" s="336" customFormat="1">
      <c r="A215" s="240"/>
      <c r="B215" s="319">
        <f t="shared" ref="B215:B216" si="46">IF(L215&gt;0,1,0)</f>
        <v>0</v>
      </c>
      <c r="C215" s="158"/>
      <c r="D215" s="398" t="s">
        <v>842</v>
      </c>
      <c r="E215" s="70" t="s">
        <v>535</v>
      </c>
      <c r="F215" s="350"/>
      <c r="G215" s="353"/>
      <c r="H215" s="19"/>
      <c r="I215" s="77"/>
      <c r="J215" s="389"/>
      <c r="K215" s="102"/>
      <c r="L215" s="404">
        <f>H215*K215</f>
        <v>0</v>
      </c>
      <c r="M215" s="453"/>
      <c r="N215" s="69"/>
      <c r="O215" s="359"/>
      <c r="P215" s="84"/>
      <c r="Q215" s="363"/>
    </row>
    <row r="216" spans="1:17" s="336" customFormat="1">
      <c r="A216" s="240"/>
      <c r="B216" s="319">
        <f t="shared" si="46"/>
        <v>0</v>
      </c>
      <c r="C216" s="159"/>
      <c r="D216" s="398" t="s">
        <v>843</v>
      </c>
      <c r="E216" s="72" t="s">
        <v>535</v>
      </c>
      <c r="F216" s="350"/>
      <c r="G216" s="353"/>
      <c r="H216" s="63"/>
      <c r="I216" s="81"/>
      <c r="J216" s="391"/>
      <c r="K216" s="104"/>
      <c r="L216" s="404">
        <f>H216*K216</f>
        <v>0</v>
      </c>
      <c r="M216" s="453"/>
      <c r="N216" s="85"/>
      <c r="O216" s="359"/>
      <c r="P216" s="70"/>
      <c r="Q216" s="363"/>
    </row>
    <row r="217" spans="1:17" s="336" customFormat="1">
      <c r="A217" s="240"/>
      <c r="B217" s="319">
        <v>1</v>
      </c>
      <c r="C217" s="370"/>
      <c r="D217" s="371"/>
      <c r="E217" s="371"/>
      <c r="F217" s="371"/>
      <c r="G217" s="371"/>
      <c r="H217" s="372"/>
      <c r="I217" s="371"/>
      <c r="J217" s="373"/>
      <c r="K217" s="374" t="s">
        <v>198</v>
      </c>
      <c r="L217" s="375">
        <f>SUBTOTAL(9,L150:L216)</f>
        <v>0</v>
      </c>
      <c r="M217" s="392"/>
      <c r="N217" s="393"/>
      <c r="O217" s="394"/>
      <c r="P217" s="395"/>
      <c r="Q217" s="339"/>
    </row>
    <row r="218" spans="1:17" s="336" customFormat="1" ht="15">
      <c r="A218" s="240"/>
      <c r="B218" s="319">
        <v>1</v>
      </c>
      <c r="C218" s="340" t="s">
        <v>844</v>
      </c>
      <c r="D218" s="341"/>
      <c r="E218" s="342"/>
      <c r="F218" s="342"/>
      <c r="G218" s="342"/>
      <c r="H218" s="380"/>
      <c r="I218" s="342"/>
      <c r="J218" s="381"/>
      <c r="K218" s="382"/>
      <c r="L218" s="383"/>
      <c r="M218" s="346"/>
      <c r="N218" s="347"/>
      <c r="O218" s="348"/>
      <c r="P218" s="349"/>
      <c r="Q218" s="339"/>
    </row>
    <row r="219" spans="1:17" s="336" customFormat="1" ht="91.35" customHeight="1">
      <c r="A219" s="240"/>
      <c r="B219" s="319">
        <f t="shared" ref="B219:B282" si="47">IF(L219&gt;0,1,0)</f>
        <v>0</v>
      </c>
      <c r="C219" s="158"/>
      <c r="D219" s="384"/>
      <c r="E219" s="354" t="s">
        <v>845</v>
      </c>
      <c r="F219" s="350"/>
      <c r="G219" s="352"/>
      <c r="H219" s="397"/>
      <c r="I219" s="354" t="s">
        <v>159</v>
      </c>
      <c r="J219" s="355"/>
      <c r="K219" s="355"/>
      <c r="L219" s="404">
        <f>Pipelines!D3</f>
        <v>0</v>
      </c>
      <c r="M219" s="452"/>
      <c r="N219" s="83"/>
      <c r="O219" s="354" t="s">
        <v>846</v>
      </c>
      <c r="P219" s="354" t="s">
        <v>847</v>
      </c>
      <c r="Q219" s="339"/>
    </row>
    <row r="220" spans="1:17" s="336" customFormat="1" ht="56.25">
      <c r="A220" s="240"/>
      <c r="B220" s="319">
        <f t="shared" si="47"/>
        <v>0</v>
      </c>
      <c r="C220" s="158"/>
      <c r="D220" s="398" t="s">
        <v>848</v>
      </c>
      <c r="E220" s="362" t="s">
        <v>849</v>
      </c>
      <c r="F220" s="350"/>
      <c r="G220" s="353"/>
      <c r="H220" s="18"/>
      <c r="I220" s="362" t="s">
        <v>82</v>
      </c>
      <c r="J220" s="361">
        <v>252.88085026232378</v>
      </c>
      <c r="K220" s="101"/>
      <c r="L220" s="356">
        <f t="shared" ref="L220:L307" si="48">IF(K220="",J220,K220)*H220</f>
        <v>0</v>
      </c>
      <c r="M220" s="453"/>
      <c r="N220" s="68"/>
      <c r="O220" s="362" t="s">
        <v>850</v>
      </c>
      <c r="P220" s="362" t="s">
        <v>851</v>
      </c>
      <c r="Q220" s="339"/>
    </row>
    <row r="221" spans="1:17" s="336" customFormat="1" ht="56.25">
      <c r="A221" s="240"/>
      <c r="B221" s="319">
        <f t="shared" si="47"/>
        <v>0</v>
      </c>
      <c r="C221" s="158"/>
      <c r="D221" s="398" t="s">
        <v>852</v>
      </c>
      <c r="E221" s="362" t="s">
        <v>853</v>
      </c>
      <c r="F221" s="350"/>
      <c r="G221" s="353"/>
      <c r="H221" s="18"/>
      <c r="I221" s="362" t="s">
        <v>82</v>
      </c>
      <c r="J221" s="361">
        <v>598.68528834494282</v>
      </c>
      <c r="K221" s="101"/>
      <c r="L221" s="356">
        <f t="shared" si="48"/>
        <v>0</v>
      </c>
      <c r="M221" s="453"/>
      <c r="N221" s="68"/>
      <c r="O221" s="362" t="s">
        <v>850</v>
      </c>
      <c r="P221" s="362" t="s">
        <v>851</v>
      </c>
      <c r="Q221" s="339"/>
    </row>
    <row r="222" spans="1:17" s="336" customFormat="1" ht="56.25">
      <c r="A222" s="240"/>
      <c r="B222" s="319">
        <f t="shared" si="47"/>
        <v>0</v>
      </c>
      <c r="C222" s="158"/>
      <c r="D222" s="398" t="s">
        <v>854</v>
      </c>
      <c r="E222" s="362" t="s">
        <v>855</v>
      </c>
      <c r="F222" s="350"/>
      <c r="G222" s="353"/>
      <c r="H222" s="18"/>
      <c r="I222" s="362" t="s">
        <v>82</v>
      </c>
      <c r="J222" s="361">
        <v>4057.3745538930812</v>
      </c>
      <c r="K222" s="101"/>
      <c r="L222" s="356">
        <f t="shared" si="48"/>
        <v>0</v>
      </c>
      <c r="M222" s="453"/>
      <c r="N222" s="68"/>
      <c r="O222" s="362" t="s">
        <v>850</v>
      </c>
      <c r="P222" s="362" t="s">
        <v>856</v>
      </c>
      <c r="Q222" s="339"/>
    </row>
    <row r="223" spans="1:17" s="336" customFormat="1" ht="56.25">
      <c r="A223" s="240"/>
      <c r="B223" s="319">
        <f t="shared" si="47"/>
        <v>0</v>
      </c>
      <c r="C223" s="158"/>
      <c r="D223" s="398" t="s">
        <v>857</v>
      </c>
      <c r="E223" s="362" t="s">
        <v>858</v>
      </c>
      <c r="F223" s="350"/>
      <c r="G223" s="353"/>
      <c r="H223" s="18"/>
      <c r="I223" s="362" t="s">
        <v>82</v>
      </c>
      <c r="J223" s="361">
        <v>14496.341121291525</v>
      </c>
      <c r="K223" s="101"/>
      <c r="L223" s="356">
        <f t="shared" si="48"/>
        <v>0</v>
      </c>
      <c r="M223" s="453"/>
      <c r="N223" s="68"/>
      <c r="O223" s="362" t="s">
        <v>850</v>
      </c>
      <c r="P223" s="362" t="s">
        <v>856</v>
      </c>
      <c r="Q223" s="339"/>
    </row>
    <row r="224" spans="1:17" s="336" customFormat="1" ht="56.25">
      <c r="A224" s="240"/>
      <c r="B224" s="319">
        <f t="shared" si="47"/>
        <v>0</v>
      </c>
      <c r="C224" s="158"/>
      <c r="D224" s="398" t="s">
        <v>859</v>
      </c>
      <c r="E224" s="362" t="s">
        <v>860</v>
      </c>
      <c r="F224" s="350"/>
      <c r="G224" s="353"/>
      <c r="H224" s="18"/>
      <c r="I224" s="362" t="s">
        <v>82</v>
      </c>
      <c r="J224" s="361">
        <v>44362.895260984762</v>
      </c>
      <c r="K224" s="101"/>
      <c r="L224" s="356">
        <f t="shared" si="48"/>
        <v>0</v>
      </c>
      <c r="M224" s="453"/>
      <c r="N224" s="68"/>
      <c r="O224" s="362" t="s">
        <v>850</v>
      </c>
      <c r="P224" s="362" t="s">
        <v>856</v>
      </c>
      <c r="Q224" s="339"/>
    </row>
    <row r="225" spans="1:17" s="336" customFormat="1" ht="67.5">
      <c r="A225" s="240"/>
      <c r="B225" s="319">
        <f t="shared" si="47"/>
        <v>0</v>
      </c>
      <c r="C225" s="158"/>
      <c r="D225" s="398" t="s">
        <v>861</v>
      </c>
      <c r="E225" s="362" t="s">
        <v>862</v>
      </c>
      <c r="F225" s="350"/>
      <c r="G225" s="353"/>
      <c r="H225" s="18"/>
      <c r="I225" s="362" t="s">
        <v>82</v>
      </c>
      <c r="J225" s="361">
        <v>24905.755924600013</v>
      </c>
      <c r="K225" s="101"/>
      <c r="L225" s="356">
        <f t="shared" si="48"/>
        <v>0</v>
      </c>
      <c r="M225" s="453"/>
      <c r="N225" s="68"/>
      <c r="O225" s="362" t="s">
        <v>863</v>
      </c>
      <c r="P225" s="362" t="s">
        <v>864</v>
      </c>
      <c r="Q225" s="339"/>
    </row>
    <row r="226" spans="1:17" s="336" customFormat="1" ht="67.5">
      <c r="A226" s="240"/>
      <c r="B226" s="319">
        <f t="shared" si="47"/>
        <v>0</v>
      </c>
      <c r="C226" s="158"/>
      <c r="D226" s="398" t="s">
        <v>865</v>
      </c>
      <c r="E226" s="362" t="s">
        <v>866</v>
      </c>
      <c r="F226" s="350"/>
      <c r="G226" s="353"/>
      <c r="H226" s="18"/>
      <c r="I226" s="362" t="s">
        <v>82</v>
      </c>
      <c r="J226" s="361">
        <v>9648.3877240712136</v>
      </c>
      <c r="K226" s="101"/>
      <c r="L226" s="356">
        <f t="shared" si="48"/>
        <v>0</v>
      </c>
      <c r="M226" s="453"/>
      <c r="N226" s="68"/>
      <c r="O226" s="362" t="s">
        <v>863</v>
      </c>
      <c r="P226" s="362" t="s">
        <v>867</v>
      </c>
      <c r="Q226" s="339"/>
    </row>
    <row r="227" spans="1:17" s="336" customFormat="1" ht="45">
      <c r="A227" s="240"/>
      <c r="B227" s="319">
        <f t="shared" si="47"/>
        <v>0</v>
      </c>
      <c r="C227" s="158"/>
      <c r="D227" s="398" t="s">
        <v>868</v>
      </c>
      <c r="E227" s="362" t="s">
        <v>869</v>
      </c>
      <c r="F227" s="350"/>
      <c r="G227" s="353"/>
      <c r="H227" s="18"/>
      <c r="I227" s="362" t="s">
        <v>82</v>
      </c>
      <c r="J227" s="361">
        <v>13279.979208660661</v>
      </c>
      <c r="K227" s="101"/>
      <c r="L227" s="356">
        <f t="shared" si="48"/>
        <v>0</v>
      </c>
      <c r="M227" s="453"/>
      <c r="N227" s="68"/>
      <c r="O227" s="362" t="s">
        <v>863</v>
      </c>
      <c r="P227" s="362" t="s">
        <v>870</v>
      </c>
      <c r="Q227" s="339"/>
    </row>
    <row r="228" spans="1:17" s="336" customFormat="1" ht="56.25">
      <c r="A228" s="240"/>
      <c r="B228" s="319">
        <f t="shared" si="47"/>
        <v>0</v>
      </c>
      <c r="C228" s="158"/>
      <c r="D228" s="398" t="s">
        <v>871</v>
      </c>
      <c r="E228" s="362" t="s">
        <v>872</v>
      </c>
      <c r="F228" s="350"/>
      <c r="G228" s="353"/>
      <c r="H228" s="18"/>
      <c r="I228" s="362" t="s">
        <v>82</v>
      </c>
      <c r="J228" s="361">
        <v>9222.6046547675796</v>
      </c>
      <c r="K228" s="101"/>
      <c r="L228" s="356">
        <f t="shared" si="48"/>
        <v>0</v>
      </c>
      <c r="M228" s="453"/>
      <c r="N228" s="68"/>
      <c r="O228" s="362" t="s">
        <v>863</v>
      </c>
      <c r="P228" s="362" t="s">
        <v>873</v>
      </c>
      <c r="Q228" s="339"/>
    </row>
    <row r="229" spans="1:17" s="336" customFormat="1" ht="78.75">
      <c r="A229" s="240"/>
      <c r="B229" s="319">
        <f t="shared" si="47"/>
        <v>0</v>
      </c>
      <c r="C229" s="158"/>
      <c r="D229" s="398" t="s">
        <v>874</v>
      </c>
      <c r="E229" s="362" t="s">
        <v>875</v>
      </c>
      <c r="F229" s="79"/>
      <c r="G229" s="362" t="s">
        <v>79</v>
      </c>
      <c r="H229" s="18"/>
      <c r="I229" s="362" t="s">
        <v>82</v>
      </c>
      <c r="J229" s="384"/>
      <c r="K229" s="356">
        <f>IF(F229=0,0,Assumptions!$D$208*Main!$F$229+Assumptions!$E$208)</f>
        <v>0</v>
      </c>
      <c r="L229" s="356">
        <f t="shared" si="48"/>
        <v>0</v>
      </c>
      <c r="M229" s="453"/>
      <c r="N229" s="68"/>
      <c r="O229" s="362" t="s">
        <v>876</v>
      </c>
      <c r="P229" s="362" t="s">
        <v>877</v>
      </c>
      <c r="Q229" s="339"/>
    </row>
    <row r="230" spans="1:17" s="336" customFormat="1" ht="33.75">
      <c r="A230" s="240"/>
      <c r="B230" s="319">
        <f t="shared" si="47"/>
        <v>0</v>
      </c>
      <c r="C230" s="158"/>
      <c r="D230" s="398" t="s">
        <v>878</v>
      </c>
      <c r="E230" s="362" t="s">
        <v>879</v>
      </c>
      <c r="F230" s="350"/>
      <c r="G230" s="353"/>
      <c r="H230" s="18"/>
      <c r="I230" s="362" t="s">
        <v>82</v>
      </c>
      <c r="J230" s="361">
        <v>1233.3956744530615</v>
      </c>
      <c r="K230" s="101"/>
      <c r="L230" s="356">
        <f t="shared" si="48"/>
        <v>0</v>
      </c>
      <c r="M230" s="453"/>
      <c r="N230" s="68"/>
      <c r="O230" s="362" t="s">
        <v>880</v>
      </c>
      <c r="P230" s="362" t="s">
        <v>881</v>
      </c>
      <c r="Q230" s="339"/>
    </row>
    <row r="231" spans="1:17" s="336" customFormat="1" ht="33.75">
      <c r="A231" s="240"/>
      <c r="B231" s="319">
        <f t="shared" si="47"/>
        <v>0</v>
      </c>
      <c r="C231" s="158"/>
      <c r="D231" s="398" t="s">
        <v>882</v>
      </c>
      <c r="E231" s="362" t="s">
        <v>883</v>
      </c>
      <c r="F231" s="350"/>
      <c r="G231" s="353"/>
      <c r="H231" s="18"/>
      <c r="I231" s="362" t="s">
        <v>82</v>
      </c>
      <c r="J231" s="361">
        <v>2466.7913489061229</v>
      </c>
      <c r="K231" s="101"/>
      <c r="L231" s="356">
        <f t="shared" si="48"/>
        <v>0</v>
      </c>
      <c r="M231" s="453"/>
      <c r="N231" s="68"/>
      <c r="O231" s="362" t="s">
        <v>880</v>
      </c>
      <c r="P231" s="362" t="s">
        <v>881</v>
      </c>
      <c r="Q231" s="339"/>
    </row>
    <row r="232" spans="1:17" s="336" customFormat="1" ht="33.75">
      <c r="A232" s="240"/>
      <c r="B232" s="319">
        <f t="shared" si="47"/>
        <v>0</v>
      </c>
      <c r="C232" s="158"/>
      <c r="D232" s="398" t="s">
        <v>884</v>
      </c>
      <c r="E232" s="362" t="s">
        <v>885</v>
      </c>
      <c r="F232" s="350"/>
      <c r="G232" s="353"/>
      <c r="H232" s="18"/>
      <c r="I232" s="362" t="s">
        <v>82</v>
      </c>
      <c r="J232" s="361">
        <v>3083.4891861326541</v>
      </c>
      <c r="K232" s="101"/>
      <c r="L232" s="356">
        <f t="shared" si="48"/>
        <v>0</v>
      </c>
      <c r="M232" s="453"/>
      <c r="N232" s="68"/>
      <c r="O232" s="362" t="s">
        <v>880</v>
      </c>
      <c r="P232" s="362" t="s">
        <v>881</v>
      </c>
      <c r="Q232" s="339"/>
    </row>
    <row r="233" spans="1:17" s="336" customFormat="1" ht="33.75">
      <c r="A233" s="240"/>
      <c r="B233" s="319">
        <f t="shared" si="47"/>
        <v>0</v>
      </c>
      <c r="C233" s="158"/>
      <c r="D233" s="398" t="s">
        <v>886</v>
      </c>
      <c r="E233" s="362" t="s">
        <v>887</v>
      </c>
      <c r="F233" s="350"/>
      <c r="G233" s="353"/>
      <c r="H233" s="18"/>
      <c r="I233" s="362" t="s">
        <v>82</v>
      </c>
      <c r="J233" s="361">
        <v>4111.3189148435386</v>
      </c>
      <c r="K233" s="101"/>
      <c r="L233" s="356">
        <f t="shared" si="48"/>
        <v>0</v>
      </c>
      <c r="M233" s="453"/>
      <c r="N233" s="68"/>
      <c r="O233" s="362" t="s">
        <v>880</v>
      </c>
      <c r="P233" s="362" t="s">
        <v>881</v>
      </c>
      <c r="Q233" s="339"/>
    </row>
    <row r="234" spans="1:17" s="336" customFormat="1" ht="33.75">
      <c r="A234" s="240"/>
      <c r="B234" s="319">
        <f t="shared" si="47"/>
        <v>0</v>
      </c>
      <c r="C234" s="158"/>
      <c r="D234" s="398" t="s">
        <v>888</v>
      </c>
      <c r="E234" s="362" t="s">
        <v>889</v>
      </c>
      <c r="F234" s="350"/>
      <c r="G234" s="353"/>
      <c r="H234" s="18"/>
      <c r="I234" s="362" t="s">
        <v>82</v>
      </c>
      <c r="J234" s="361">
        <v>5139.148643554423</v>
      </c>
      <c r="K234" s="101"/>
      <c r="L234" s="356">
        <f t="shared" si="48"/>
        <v>0</v>
      </c>
      <c r="M234" s="453"/>
      <c r="N234" s="68"/>
      <c r="O234" s="362" t="s">
        <v>880</v>
      </c>
      <c r="P234" s="362" t="s">
        <v>881</v>
      </c>
      <c r="Q234" s="339"/>
    </row>
    <row r="235" spans="1:17" s="336" customFormat="1" ht="33.75">
      <c r="A235" s="240"/>
      <c r="B235" s="319">
        <f t="shared" si="47"/>
        <v>0</v>
      </c>
      <c r="C235" s="158"/>
      <c r="D235" s="398" t="s">
        <v>890</v>
      </c>
      <c r="E235" s="362" t="s">
        <v>891</v>
      </c>
      <c r="F235" s="350"/>
      <c r="G235" s="353"/>
      <c r="H235" s="18"/>
      <c r="I235" s="362" t="s">
        <v>82</v>
      </c>
      <c r="J235" s="361">
        <v>6166.9783722653083</v>
      </c>
      <c r="K235" s="101"/>
      <c r="L235" s="356">
        <f t="shared" si="48"/>
        <v>0</v>
      </c>
      <c r="M235" s="453"/>
      <c r="N235" s="68"/>
      <c r="O235" s="362" t="s">
        <v>880</v>
      </c>
      <c r="P235" s="362" t="s">
        <v>881</v>
      </c>
      <c r="Q235" s="339"/>
    </row>
    <row r="236" spans="1:17" s="336" customFormat="1" ht="33.75">
      <c r="A236" s="240"/>
      <c r="B236" s="319">
        <f t="shared" si="47"/>
        <v>0</v>
      </c>
      <c r="C236" s="158"/>
      <c r="D236" s="398" t="s">
        <v>892</v>
      </c>
      <c r="E236" s="362" t="s">
        <v>893</v>
      </c>
      <c r="F236" s="350"/>
      <c r="G236" s="353"/>
      <c r="H236" s="18"/>
      <c r="I236" s="362" t="s">
        <v>82</v>
      </c>
      <c r="J236" s="361">
        <v>7194.8081009761927</v>
      </c>
      <c r="K236" s="101"/>
      <c r="L236" s="356">
        <f t="shared" si="48"/>
        <v>0</v>
      </c>
      <c r="M236" s="453"/>
      <c r="N236" s="68"/>
      <c r="O236" s="362" t="s">
        <v>880</v>
      </c>
      <c r="P236" s="362" t="s">
        <v>881</v>
      </c>
      <c r="Q236" s="339"/>
    </row>
    <row r="237" spans="1:17" s="336" customFormat="1" ht="33.75">
      <c r="A237" s="240"/>
      <c r="B237" s="319">
        <f t="shared" si="47"/>
        <v>0</v>
      </c>
      <c r="C237" s="158"/>
      <c r="D237" s="398" t="s">
        <v>894</v>
      </c>
      <c r="E237" s="362" t="s">
        <v>895</v>
      </c>
      <c r="F237" s="350"/>
      <c r="G237" s="353"/>
      <c r="H237" s="18"/>
      <c r="I237" s="362" t="s">
        <v>82</v>
      </c>
      <c r="J237" s="361">
        <v>8222.6378296870771</v>
      </c>
      <c r="K237" s="101"/>
      <c r="L237" s="356">
        <f t="shared" si="48"/>
        <v>0</v>
      </c>
      <c r="M237" s="453"/>
      <c r="N237" s="68"/>
      <c r="O237" s="362" t="s">
        <v>880</v>
      </c>
      <c r="P237" s="362" t="s">
        <v>881</v>
      </c>
      <c r="Q237" s="339"/>
    </row>
    <row r="238" spans="1:17" s="336" customFormat="1" ht="33.75">
      <c r="A238" s="240"/>
      <c r="B238" s="319">
        <f t="shared" si="47"/>
        <v>0</v>
      </c>
      <c r="C238" s="158"/>
      <c r="D238" s="398" t="s">
        <v>896</v>
      </c>
      <c r="E238" s="362" t="s">
        <v>897</v>
      </c>
      <c r="F238" s="350"/>
      <c r="G238" s="353"/>
      <c r="H238" s="18"/>
      <c r="I238" s="362" t="s">
        <v>82</v>
      </c>
      <c r="J238" s="361">
        <v>10278.297287108846</v>
      </c>
      <c r="K238" s="101"/>
      <c r="L238" s="356">
        <f t="shared" si="48"/>
        <v>0</v>
      </c>
      <c r="M238" s="453"/>
      <c r="N238" s="68"/>
      <c r="O238" s="362" t="s">
        <v>880</v>
      </c>
      <c r="P238" s="362" t="s">
        <v>881</v>
      </c>
      <c r="Q238" s="339"/>
    </row>
    <row r="239" spans="1:17" s="336" customFormat="1" ht="33.75">
      <c r="A239" s="240"/>
      <c r="B239" s="319">
        <f t="shared" si="47"/>
        <v>0</v>
      </c>
      <c r="C239" s="158"/>
      <c r="D239" s="398" t="s">
        <v>898</v>
      </c>
      <c r="E239" s="362" t="s">
        <v>899</v>
      </c>
      <c r="F239" s="350"/>
      <c r="G239" s="353"/>
      <c r="H239" s="18"/>
      <c r="I239" s="362" t="s">
        <v>82</v>
      </c>
      <c r="J239" s="361">
        <v>12333.956744530617</v>
      </c>
      <c r="K239" s="101"/>
      <c r="L239" s="356">
        <f t="shared" si="48"/>
        <v>0</v>
      </c>
      <c r="M239" s="453"/>
      <c r="N239" s="68"/>
      <c r="O239" s="362" t="s">
        <v>880</v>
      </c>
      <c r="P239" s="362" t="s">
        <v>881</v>
      </c>
      <c r="Q239" s="339"/>
    </row>
    <row r="240" spans="1:17" s="336" customFormat="1" ht="33.75">
      <c r="A240" s="240"/>
      <c r="B240" s="319">
        <f t="shared" si="47"/>
        <v>0</v>
      </c>
      <c r="C240" s="158"/>
      <c r="D240" s="398" t="s">
        <v>900</v>
      </c>
      <c r="E240" s="362" t="s">
        <v>901</v>
      </c>
      <c r="F240" s="350"/>
      <c r="G240" s="353"/>
      <c r="H240" s="18"/>
      <c r="I240" s="362" t="s">
        <v>82</v>
      </c>
      <c r="J240" s="361">
        <v>16445.275659374154</v>
      </c>
      <c r="K240" s="101"/>
      <c r="L240" s="356">
        <f t="shared" si="48"/>
        <v>0</v>
      </c>
      <c r="M240" s="453"/>
      <c r="N240" s="68"/>
      <c r="O240" s="362" t="s">
        <v>880</v>
      </c>
      <c r="P240" s="362" t="s">
        <v>881</v>
      </c>
      <c r="Q240" s="339"/>
    </row>
    <row r="241" spans="1:17" s="336" customFormat="1" ht="33.75">
      <c r="A241" s="240"/>
      <c r="B241" s="319">
        <f t="shared" si="47"/>
        <v>0</v>
      </c>
      <c r="C241" s="158"/>
      <c r="D241" s="398" t="s">
        <v>902</v>
      </c>
      <c r="E241" s="362" t="s">
        <v>903</v>
      </c>
      <c r="F241" s="350"/>
      <c r="G241" s="353"/>
      <c r="H241" s="18"/>
      <c r="I241" s="362" t="s">
        <v>82</v>
      </c>
      <c r="J241" s="361">
        <v>20556.594574217692</v>
      </c>
      <c r="K241" s="101"/>
      <c r="L241" s="356">
        <f t="shared" si="48"/>
        <v>0</v>
      </c>
      <c r="M241" s="453"/>
      <c r="N241" s="68"/>
      <c r="O241" s="362" t="s">
        <v>880</v>
      </c>
      <c r="P241" s="362" t="s">
        <v>881</v>
      </c>
      <c r="Q241" s="339"/>
    </row>
    <row r="242" spans="1:17" s="336" customFormat="1" ht="123.75">
      <c r="A242" s="240"/>
      <c r="B242" s="319">
        <f t="shared" si="47"/>
        <v>0</v>
      </c>
      <c r="C242" s="158"/>
      <c r="D242" s="398" t="s">
        <v>904</v>
      </c>
      <c r="E242" s="362" t="s">
        <v>905</v>
      </c>
      <c r="F242" s="79"/>
      <c r="G242" s="362" t="s">
        <v>79</v>
      </c>
      <c r="H242" s="18"/>
      <c r="I242" s="362" t="s">
        <v>82</v>
      </c>
      <c r="J242" s="384"/>
      <c r="K242" s="356">
        <f>IF(F242=0,0,Assumptions!$D$209*F242+Assumptions!$E$209)</f>
        <v>0</v>
      </c>
      <c r="L242" s="356">
        <f t="shared" ref="L242" si="49">IF(K242="",J242,K242)*H242</f>
        <v>0</v>
      </c>
      <c r="M242" s="453"/>
      <c r="N242" s="68"/>
      <c r="O242" s="362" t="s">
        <v>906</v>
      </c>
      <c r="P242" s="362" t="s">
        <v>907</v>
      </c>
      <c r="Q242" s="339"/>
    </row>
    <row r="243" spans="1:17" s="336" customFormat="1" ht="22.5">
      <c r="A243" s="240"/>
      <c r="B243" s="319">
        <f t="shared" si="47"/>
        <v>0</v>
      </c>
      <c r="C243" s="158"/>
      <c r="D243" s="398" t="s">
        <v>908</v>
      </c>
      <c r="E243" s="362" t="s">
        <v>909</v>
      </c>
      <c r="F243" s="350"/>
      <c r="G243" s="353"/>
      <c r="H243" s="18"/>
      <c r="I243" s="362" t="s">
        <v>82</v>
      </c>
      <c r="J243" s="361">
        <v>2757.9956744530618</v>
      </c>
      <c r="K243" s="101"/>
      <c r="L243" s="356">
        <f t="shared" si="48"/>
        <v>0</v>
      </c>
      <c r="M243" s="453"/>
      <c r="N243" s="68"/>
      <c r="O243" s="362" t="s">
        <v>910</v>
      </c>
      <c r="P243" s="362" t="s">
        <v>495</v>
      </c>
      <c r="Q243" s="339"/>
    </row>
    <row r="244" spans="1:17" s="336" customFormat="1" ht="22.5">
      <c r="A244" s="240"/>
      <c r="B244" s="319">
        <f t="shared" si="47"/>
        <v>0</v>
      </c>
      <c r="C244" s="158"/>
      <c r="D244" s="398" t="s">
        <v>911</v>
      </c>
      <c r="E244" s="362" t="s">
        <v>912</v>
      </c>
      <c r="F244" s="350"/>
      <c r="G244" s="353"/>
      <c r="H244" s="18"/>
      <c r="I244" s="362" t="s">
        <v>82</v>
      </c>
      <c r="J244" s="361">
        <v>5515.9913489061237</v>
      </c>
      <c r="K244" s="101"/>
      <c r="L244" s="356">
        <f t="shared" si="48"/>
        <v>0</v>
      </c>
      <c r="M244" s="453"/>
      <c r="N244" s="68"/>
      <c r="O244" s="362" t="s">
        <v>910</v>
      </c>
      <c r="P244" s="362" t="s">
        <v>495</v>
      </c>
      <c r="Q244" s="339"/>
    </row>
    <row r="245" spans="1:17" s="336" customFormat="1" ht="22.5">
      <c r="A245" s="240"/>
      <c r="B245" s="319">
        <f t="shared" si="47"/>
        <v>0</v>
      </c>
      <c r="C245" s="158"/>
      <c r="D245" s="398" t="s">
        <v>913</v>
      </c>
      <c r="E245" s="362" t="s">
        <v>914</v>
      </c>
      <c r="F245" s="350"/>
      <c r="G245" s="353"/>
      <c r="H245" s="18"/>
      <c r="I245" s="362" t="s">
        <v>82</v>
      </c>
      <c r="J245" s="361">
        <v>6894.9891861326541</v>
      </c>
      <c r="K245" s="101"/>
      <c r="L245" s="356">
        <f t="shared" si="48"/>
        <v>0</v>
      </c>
      <c r="M245" s="453"/>
      <c r="N245" s="68"/>
      <c r="O245" s="362" t="s">
        <v>910</v>
      </c>
      <c r="P245" s="362" t="s">
        <v>495</v>
      </c>
      <c r="Q245" s="339"/>
    </row>
    <row r="246" spans="1:17" s="336" customFormat="1" ht="22.5">
      <c r="A246" s="240"/>
      <c r="B246" s="319">
        <f t="shared" si="47"/>
        <v>0</v>
      </c>
      <c r="C246" s="158"/>
      <c r="D246" s="398" t="s">
        <v>915</v>
      </c>
      <c r="E246" s="362" t="s">
        <v>916</v>
      </c>
      <c r="F246" s="350"/>
      <c r="G246" s="353"/>
      <c r="H246" s="18"/>
      <c r="I246" s="362" t="s">
        <v>82</v>
      </c>
      <c r="J246" s="361">
        <v>9193.3189148435395</v>
      </c>
      <c r="K246" s="101"/>
      <c r="L246" s="356">
        <f t="shared" si="48"/>
        <v>0</v>
      </c>
      <c r="M246" s="453"/>
      <c r="N246" s="68"/>
      <c r="O246" s="362" t="s">
        <v>910</v>
      </c>
      <c r="P246" s="362" t="s">
        <v>495</v>
      </c>
      <c r="Q246" s="339"/>
    </row>
    <row r="247" spans="1:17" s="336" customFormat="1" ht="22.5">
      <c r="A247" s="240"/>
      <c r="B247" s="319">
        <f t="shared" si="47"/>
        <v>0</v>
      </c>
      <c r="C247" s="158"/>
      <c r="D247" s="398" t="s">
        <v>917</v>
      </c>
      <c r="E247" s="362" t="s">
        <v>918</v>
      </c>
      <c r="F247" s="350"/>
      <c r="G247" s="353"/>
      <c r="H247" s="18"/>
      <c r="I247" s="362" t="s">
        <v>82</v>
      </c>
      <c r="J247" s="361">
        <v>11491.648643554423</v>
      </c>
      <c r="K247" s="101"/>
      <c r="L247" s="356">
        <f t="shared" si="48"/>
        <v>0</v>
      </c>
      <c r="M247" s="453"/>
      <c r="N247" s="68"/>
      <c r="O247" s="362" t="s">
        <v>910</v>
      </c>
      <c r="P247" s="362" t="s">
        <v>495</v>
      </c>
      <c r="Q247" s="339"/>
    </row>
    <row r="248" spans="1:17" s="336" customFormat="1" ht="22.5">
      <c r="A248" s="240"/>
      <c r="B248" s="319">
        <f t="shared" si="47"/>
        <v>0</v>
      </c>
      <c r="C248" s="158"/>
      <c r="D248" s="398" t="s">
        <v>919</v>
      </c>
      <c r="E248" s="362" t="s">
        <v>920</v>
      </c>
      <c r="F248" s="350"/>
      <c r="G248" s="353"/>
      <c r="H248" s="18"/>
      <c r="I248" s="362" t="s">
        <v>82</v>
      </c>
      <c r="J248" s="361">
        <v>13789.978372265308</v>
      </c>
      <c r="K248" s="101"/>
      <c r="L248" s="356">
        <f t="shared" si="48"/>
        <v>0</v>
      </c>
      <c r="M248" s="453"/>
      <c r="N248" s="68"/>
      <c r="O248" s="362" t="s">
        <v>910</v>
      </c>
      <c r="P248" s="362" t="s">
        <v>495</v>
      </c>
      <c r="Q248" s="339"/>
    </row>
    <row r="249" spans="1:17" s="336" customFormat="1" ht="22.5">
      <c r="A249" s="240"/>
      <c r="B249" s="319">
        <f t="shared" si="47"/>
        <v>0</v>
      </c>
      <c r="C249" s="158"/>
      <c r="D249" s="398" t="s">
        <v>921</v>
      </c>
      <c r="E249" s="362" t="s">
        <v>922</v>
      </c>
      <c r="F249" s="350"/>
      <c r="G249" s="353"/>
      <c r="H249" s="18"/>
      <c r="I249" s="362" t="s">
        <v>82</v>
      </c>
      <c r="J249" s="361">
        <v>16088.308100976192</v>
      </c>
      <c r="K249" s="101"/>
      <c r="L249" s="356">
        <f t="shared" si="48"/>
        <v>0</v>
      </c>
      <c r="M249" s="453"/>
      <c r="N249" s="68"/>
      <c r="O249" s="362" t="s">
        <v>910</v>
      </c>
      <c r="P249" s="362" t="s">
        <v>495</v>
      </c>
      <c r="Q249" s="339"/>
    </row>
    <row r="250" spans="1:17" s="336" customFormat="1" ht="22.5">
      <c r="A250" s="240"/>
      <c r="B250" s="319">
        <f t="shared" si="47"/>
        <v>0</v>
      </c>
      <c r="C250" s="158"/>
      <c r="D250" s="398" t="s">
        <v>923</v>
      </c>
      <c r="E250" s="362" t="s">
        <v>924</v>
      </c>
      <c r="F250" s="350"/>
      <c r="G250" s="353"/>
      <c r="H250" s="18"/>
      <c r="I250" s="362" t="s">
        <v>82</v>
      </c>
      <c r="J250" s="361">
        <v>18386.637829687079</v>
      </c>
      <c r="K250" s="101"/>
      <c r="L250" s="356">
        <f t="shared" si="48"/>
        <v>0</v>
      </c>
      <c r="M250" s="453"/>
      <c r="N250" s="68"/>
      <c r="O250" s="362" t="s">
        <v>910</v>
      </c>
      <c r="P250" s="362" t="s">
        <v>495</v>
      </c>
      <c r="Q250" s="339"/>
    </row>
    <row r="251" spans="1:17" s="336" customFormat="1" ht="22.5">
      <c r="A251" s="240"/>
      <c r="B251" s="319">
        <f t="shared" si="47"/>
        <v>0</v>
      </c>
      <c r="C251" s="158"/>
      <c r="D251" s="398" t="s">
        <v>925</v>
      </c>
      <c r="E251" s="362" t="s">
        <v>926</v>
      </c>
      <c r="F251" s="350"/>
      <c r="G251" s="353"/>
      <c r="H251" s="18"/>
      <c r="I251" s="362" t="s">
        <v>82</v>
      </c>
      <c r="J251" s="361">
        <v>22983.297287108846</v>
      </c>
      <c r="K251" s="101"/>
      <c r="L251" s="356">
        <f t="shared" si="48"/>
        <v>0</v>
      </c>
      <c r="M251" s="453"/>
      <c r="N251" s="68"/>
      <c r="O251" s="362" t="s">
        <v>910</v>
      </c>
      <c r="P251" s="362" t="s">
        <v>495</v>
      </c>
      <c r="Q251" s="339"/>
    </row>
    <row r="252" spans="1:17" s="336" customFormat="1" ht="22.5">
      <c r="A252" s="240"/>
      <c r="B252" s="319">
        <f t="shared" si="47"/>
        <v>0</v>
      </c>
      <c r="C252" s="158"/>
      <c r="D252" s="398" t="s">
        <v>927</v>
      </c>
      <c r="E252" s="362" t="s">
        <v>928</v>
      </c>
      <c r="F252" s="350"/>
      <c r="G252" s="353"/>
      <c r="H252" s="18"/>
      <c r="I252" s="362" t="s">
        <v>82</v>
      </c>
      <c r="J252" s="361">
        <v>27579.956744530617</v>
      </c>
      <c r="K252" s="101"/>
      <c r="L252" s="356">
        <f t="shared" si="48"/>
        <v>0</v>
      </c>
      <c r="M252" s="453"/>
      <c r="N252" s="68"/>
      <c r="O252" s="362" t="s">
        <v>910</v>
      </c>
      <c r="P252" s="362" t="s">
        <v>495</v>
      </c>
      <c r="Q252" s="339"/>
    </row>
    <row r="253" spans="1:17" s="336" customFormat="1" ht="22.5">
      <c r="A253" s="240"/>
      <c r="B253" s="319">
        <f t="shared" si="47"/>
        <v>0</v>
      </c>
      <c r="C253" s="158"/>
      <c r="D253" s="398" t="s">
        <v>929</v>
      </c>
      <c r="E253" s="362" t="s">
        <v>930</v>
      </c>
      <c r="F253" s="350"/>
      <c r="G253" s="353"/>
      <c r="H253" s="18"/>
      <c r="I253" s="362" t="s">
        <v>82</v>
      </c>
      <c r="J253" s="361">
        <v>36773.275659374158</v>
      </c>
      <c r="K253" s="101"/>
      <c r="L253" s="356">
        <f t="shared" si="48"/>
        <v>0</v>
      </c>
      <c r="M253" s="453"/>
      <c r="N253" s="68"/>
      <c r="O253" s="362" t="s">
        <v>910</v>
      </c>
      <c r="P253" s="362" t="s">
        <v>495</v>
      </c>
      <c r="Q253" s="339"/>
    </row>
    <row r="254" spans="1:17" s="336" customFormat="1" ht="22.5">
      <c r="A254" s="240"/>
      <c r="B254" s="319">
        <f t="shared" si="47"/>
        <v>0</v>
      </c>
      <c r="C254" s="158"/>
      <c r="D254" s="398" t="s">
        <v>931</v>
      </c>
      <c r="E254" s="362" t="s">
        <v>932</v>
      </c>
      <c r="F254" s="350"/>
      <c r="G254" s="353"/>
      <c r="H254" s="18"/>
      <c r="I254" s="362" t="s">
        <v>82</v>
      </c>
      <c r="J254" s="361">
        <v>45966.594574217692</v>
      </c>
      <c r="K254" s="101"/>
      <c r="L254" s="356">
        <f t="shared" si="48"/>
        <v>0</v>
      </c>
      <c r="M254" s="453"/>
      <c r="N254" s="68"/>
      <c r="O254" s="362" t="s">
        <v>910</v>
      </c>
      <c r="P254" s="362" t="s">
        <v>495</v>
      </c>
      <c r="Q254" s="339"/>
    </row>
    <row r="255" spans="1:17" s="336" customFormat="1" ht="22.5">
      <c r="A255" s="240"/>
      <c r="B255" s="319">
        <f t="shared" si="47"/>
        <v>0</v>
      </c>
      <c r="C255" s="158"/>
      <c r="D255" s="398" t="s">
        <v>933</v>
      </c>
      <c r="E255" s="362" t="s">
        <v>934</v>
      </c>
      <c r="F255" s="350"/>
      <c r="G255" s="353"/>
      <c r="H255" s="18"/>
      <c r="I255" s="362" t="s">
        <v>82</v>
      </c>
      <c r="J255" s="361">
        <v>240.0956744530616</v>
      </c>
      <c r="K255" s="101"/>
      <c r="L255" s="356">
        <f t="shared" ref="L255:L266" si="50">IF(K255="",J255,K255)*H255</f>
        <v>0</v>
      </c>
      <c r="M255" s="453"/>
      <c r="N255" s="68"/>
      <c r="O255" s="362" t="s">
        <v>910</v>
      </c>
      <c r="P255" s="362" t="s">
        <v>495</v>
      </c>
      <c r="Q255" s="339"/>
    </row>
    <row r="256" spans="1:17" s="336" customFormat="1" ht="22.5">
      <c r="A256" s="240"/>
      <c r="B256" s="319">
        <f t="shared" si="47"/>
        <v>0</v>
      </c>
      <c r="C256" s="158"/>
      <c r="D256" s="398" t="s">
        <v>935</v>
      </c>
      <c r="E256" s="362" t="s">
        <v>936</v>
      </c>
      <c r="F256" s="350"/>
      <c r="G256" s="353"/>
      <c r="H256" s="18"/>
      <c r="I256" s="362" t="s">
        <v>82</v>
      </c>
      <c r="J256" s="361">
        <v>480.19134890612321</v>
      </c>
      <c r="K256" s="101"/>
      <c r="L256" s="356">
        <f t="shared" si="50"/>
        <v>0</v>
      </c>
      <c r="M256" s="453"/>
      <c r="N256" s="68"/>
      <c r="O256" s="362" t="s">
        <v>910</v>
      </c>
      <c r="P256" s="362" t="s">
        <v>495</v>
      </c>
      <c r="Q256" s="339"/>
    </row>
    <row r="257" spans="1:17" s="336" customFormat="1" ht="22.5">
      <c r="A257" s="240"/>
      <c r="B257" s="319">
        <f t="shared" si="47"/>
        <v>0</v>
      </c>
      <c r="C257" s="158"/>
      <c r="D257" s="398" t="s">
        <v>937</v>
      </c>
      <c r="E257" s="362" t="s">
        <v>938</v>
      </c>
      <c r="F257" s="350"/>
      <c r="G257" s="353"/>
      <c r="H257" s="18"/>
      <c r="I257" s="362" t="s">
        <v>82</v>
      </c>
      <c r="J257" s="361">
        <v>600.23918613265414</v>
      </c>
      <c r="K257" s="101"/>
      <c r="L257" s="356">
        <f t="shared" si="50"/>
        <v>0</v>
      </c>
      <c r="M257" s="453"/>
      <c r="N257" s="68"/>
      <c r="O257" s="362" t="s">
        <v>910</v>
      </c>
      <c r="P257" s="362" t="s">
        <v>495</v>
      </c>
      <c r="Q257" s="339"/>
    </row>
    <row r="258" spans="1:17" s="336" customFormat="1" ht="22.5">
      <c r="A258" s="240"/>
      <c r="B258" s="319">
        <f t="shared" si="47"/>
        <v>0</v>
      </c>
      <c r="C258" s="158"/>
      <c r="D258" s="398" t="s">
        <v>939</v>
      </c>
      <c r="E258" s="362" t="s">
        <v>940</v>
      </c>
      <c r="F258" s="350"/>
      <c r="G258" s="353"/>
      <c r="H258" s="18"/>
      <c r="I258" s="362" t="s">
        <v>82</v>
      </c>
      <c r="J258" s="361">
        <v>800.31891484353878</v>
      </c>
      <c r="K258" s="101"/>
      <c r="L258" s="356">
        <f t="shared" si="50"/>
        <v>0</v>
      </c>
      <c r="M258" s="453"/>
      <c r="N258" s="68"/>
      <c r="O258" s="362" t="s">
        <v>910</v>
      </c>
      <c r="P258" s="362" t="s">
        <v>495</v>
      </c>
      <c r="Q258" s="339"/>
    </row>
    <row r="259" spans="1:17" s="336" customFormat="1" ht="22.5">
      <c r="A259" s="240"/>
      <c r="B259" s="319">
        <f t="shared" si="47"/>
        <v>0</v>
      </c>
      <c r="C259" s="158"/>
      <c r="D259" s="398" t="s">
        <v>941</v>
      </c>
      <c r="E259" s="362" t="s">
        <v>942</v>
      </c>
      <c r="F259" s="350"/>
      <c r="G259" s="353"/>
      <c r="H259" s="18"/>
      <c r="I259" s="362" t="s">
        <v>82</v>
      </c>
      <c r="J259" s="361">
        <v>1000.3986435544234</v>
      </c>
      <c r="K259" s="101"/>
      <c r="L259" s="356">
        <f t="shared" si="50"/>
        <v>0</v>
      </c>
      <c r="M259" s="453"/>
      <c r="N259" s="68"/>
      <c r="O259" s="362" t="s">
        <v>910</v>
      </c>
      <c r="P259" s="362" t="s">
        <v>495</v>
      </c>
      <c r="Q259" s="339"/>
    </row>
    <row r="260" spans="1:17" s="336" customFormat="1" ht="22.5">
      <c r="A260" s="240"/>
      <c r="B260" s="319">
        <f t="shared" si="47"/>
        <v>0</v>
      </c>
      <c r="C260" s="158"/>
      <c r="D260" s="398" t="s">
        <v>943</v>
      </c>
      <c r="E260" s="362" t="s">
        <v>944</v>
      </c>
      <c r="F260" s="350"/>
      <c r="G260" s="353"/>
      <c r="H260" s="18"/>
      <c r="I260" s="362" t="s">
        <v>82</v>
      </c>
      <c r="J260" s="361">
        <v>1200.4783722653083</v>
      </c>
      <c r="K260" s="101"/>
      <c r="L260" s="356">
        <f t="shared" si="50"/>
        <v>0</v>
      </c>
      <c r="M260" s="453"/>
      <c r="N260" s="68"/>
      <c r="O260" s="362" t="s">
        <v>910</v>
      </c>
      <c r="P260" s="362" t="s">
        <v>495</v>
      </c>
      <c r="Q260" s="339"/>
    </row>
    <row r="261" spans="1:17" s="336" customFormat="1" ht="22.5">
      <c r="A261" s="240"/>
      <c r="B261" s="319">
        <f t="shared" si="47"/>
        <v>0</v>
      </c>
      <c r="C261" s="158"/>
      <c r="D261" s="398" t="s">
        <v>945</v>
      </c>
      <c r="E261" s="362" t="s">
        <v>946</v>
      </c>
      <c r="F261" s="350"/>
      <c r="G261" s="353"/>
      <c r="H261" s="18"/>
      <c r="I261" s="362" t="s">
        <v>82</v>
      </c>
      <c r="J261" s="361">
        <v>1400.5581009761927</v>
      </c>
      <c r="K261" s="101"/>
      <c r="L261" s="356">
        <f t="shared" si="50"/>
        <v>0</v>
      </c>
      <c r="M261" s="453"/>
      <c r="N261" s="68"/>
      <c r="O261" s="362" t="s">
        <v>910</v>
      </c>
      <c r="P261" s="362" t="s">
        <v>495</v>
      </c>
      <c r="Q261" s="339"/>
    </row>
    <row r="262" spans="1:17" s="336" customFormat="1" ht="22.5">
      <c r="A262" s="240"/>
      <c r="B262" s="319">
        <f t="shared" si="47"/>
        <v>0</v>
      </c>
      <c r="C262" s="158"/>
      <c r="D262" s="398" t="s">
        <v>947</v>
      </c>
      <c r="E262" s="362" t="s">
        <v>948</v>
      </c>
      <c r="F262" s="350"/>
      <c r="G262" s="353"/>
      <c r="H262" s="18"/>
      <c r="I262" s="362" t="s">
        <v>82</v>
      </c>
      <c r="J262" s="361">
        <v>1600.6378296870776</v>
      </c>
      <c r="K262" s="101"/>
      <c r="L262" s="356">
        <f t="shared" si="50"/>
        <v>0</v>
      </c>
      <c r="M262" s="453"/>
      <c r="N262" s="68"/>
      <c r="O262" s="362" t="s">
        <v>910</v>
      </c>
      <c r="P262" s="362" t="s">
        <v>495</v>
      </c>
      <c r="Q262" s="339"/>
    </row>
    <row r="263" spans="1:17" s="336" customFormat="1" ht="22.5">
      <c r="A263" s="240"/>
      <c r="B263" s="319">
        <f t="shared" si="47"/>
        <v>0</v>
      </c>
      <c r="C263" s="158"/>
      <c r="D263" s="398" t="s">
        <v>949</v>
      </c>
      <c r="E263" s="362" t="s">
        <v>950</v>
      </c>
      <c r="F263" s="350"/>
      <c r="G263" s="353"/>
      <c r="H263" s="18"/>
      <c r="I263" s="362" t="s">
        <v>82</v>
      </c>
      <c r="J263" s="361">
        <v>2000.7972871088468</v>
      </c>
      <c r="K263" s="101"/>
      <c r="L263" s="356">
        <f t="shared" si="50"/>
        <v>0</v>
      </c>
      <c r="M263" s="453"/>
      <c r="N263" s="68"/>
      <c r="O263" s="362" t="s">
        <v>910</v>
      </c>
      <c r="P263" s="362" t="s">
        <v>495</v>
      </c>
      <c r="Q263" s="339"/>
    </row>
    <row r="264" spans="1:17" s="336" customFormat="1" ht="22.5">
      <c r="A264" s="240"/>
      <c r="B264" s="319">
        <f t="shared" si="47"/>
        <v>0</v>
      </c>
      <c r="C264" s="158"/>
      <c r="D264" s="398" t="s">
        <v>951</v>
      </c>
      <c r="E264" s="362" t="s">
        <v>952</v>
      </c>
      <c r="F264" s="350"/>
      <c r="G264" s="353"/>
      <c r="H264" s="18"/>
      <c r="I264" s="362" t="s">
        <v>82</v>
      </c>
      <c r="J264" s="361">
        <v>2400.9567445306166</v>
      </c>
      <c r="K264" s="101"/>
      <c r="L264" s="356">
        <f t="shared" si="50"/>
        <v>0</v>
      </c>
      <c r="M264" s="453"/>
      <c r="N264" s="68"/>
      <c r="O264" s="362" t="s">
        <v>910</v>
      </c>
      <c r="P264" s="362" t="s">
        <v>495</v>
      </c>
      <c r="Q264" s="339"/>
    </row>
    <row r="265" spans="1:17" s="336" customFormat="1" ht="22.5">
      <c r="A265" s="240"/>
      <c r="B265" s="319">
        <f t="shared" si="47"/>
        <v>0</v>
      </c>
      <c r="C265" s="158"/>
      <c r="D265" s="398" t="s">
        <v>953</v>
      </c>
      <c r="E265" s="362" t="s">
        <v>954</v>
      </c>
      <c r="F265" s="350"/>
      <c r="G265" s="353"/>
      <c r="H265" s="18"/>
      <c r="I265" s="362" t="s">
        <v>82</v>
      </c>
      <c r="J265" s="361">
        <v>3201.2756593741551</v>
      </c>
      <c r="K265" s="101"/>
      <c r="L265" s="356">
        <f t="shared" si="50"/>
        <v>0</v>
      </c>
      <c r="M265" s="453"/>
      <c r="N265" s="68"/>
      <c r="O265" s="362" t="s">
        <v>910</v>
      </c>
      <c r="P265" s="362" t="s">
        <v>495</v>
      </c>
      <c r="Q265" s="339"/>
    </row>
    <row r="266" spans="1:17" s="336" customFormat="1" ht="22.5">
      <c r="A266" s="240"/>
      <c r="B266" s="319">
        <f t="shared" si="47"/>
        <v>0</v>
      </c>
      <c r="C266" s="158"/>
      <c r="D266" s="398" t="s">
        <v>955</v>
      </c>
      <c r="E266" s="362" t="s">
        <v>956</v>
      </c>
      <c r="F266" s="350"/>
      <c r="G266" s="353"/>
      <c r="H266" s="18"/>
      <c r="I266" s="362" t="s">
        <v>82</v>
      </c>
      <c r="J266" s="361">
        <v>4001.5945742176937</v>
      </c>
      <c r="K266" s="101"/>
      <c r="L266" s="356">
        <f t="shared" si="50"/>
        <v>0</v>
      </c>
      <c r="M266" s="453"/>
      <c r="N266" s="68"/>
      <c r="O266" s="362" t="s">
        <v>910</v>
      </c>
      <c r="P266" s="362" t="s">
        <v>495</v>
      </c>
      <c r="Q266" s="339"/>
    </row>
    <row r="267" spans="1:17" s="336" customFormat="1" ht="67.5">
      <c r="A267" s="240"/>
      <c r="B267" s="319">
        <f t="shared" si="47"/>
        <v>0</v>
      </c>
      <c r="C267" s="158"/>
      <c r="D267" s="398" t="s">
        <v>957</v>
      </c>
      <c r="E267" s="362" t="s">
        <v>958</v>
      </c>
      <c r="F267" s="79"/>
      <c r="G267" s="362" t="s">
        <v>79</v>
      </c>
      <c r="H267" s="18"/>
      <c r="I267" s="362" t="s">
        <v>82</v>
      </c>
      <c r="J267" s="384"/>
      <c r="K267" s="356">
        <f>IF(F267=0,0,Assumptions!$D$210*F267+Assumptions!$E$210)</f>
        <v>0</v>
      </c>
      <c r="L267" s="356">
        <f t="shared" si="48"/>
        <v>0</v>
      </c>
      <c r="M267" s="453"/>
      <c r="N267" s="68"/>
      <c r="O267" s="362" t="s">
        <v>959</v>
      </c>
      <c r="P267" s="362" t="s">
        <v>960</v>
      </c>
      <c r="Q267" s="339"/>
    </row>
    <row r="268" spans="1:17" s="336" customFormat="1" ht="22.5">
      <c r="A268" s="240"/>
      <c r="B268" s="319">
        <f t="shared" si="47"/>
        <v>0</v>
      </c>
      <c r="C268" s="158"/>
      <c r="D268" s="398" t="s">
        <v>961</v>
      </c>
      <c r="E268" s="362" t="s">
        <v>962</v>
      </c>
      <c r="F268" s="350"/>
      <c r="G268" s="353"/>
      <c r="H268" s="18"/>
      <c r="I268" s="362" t="s">
        <v>82</v>
      </c>
      <c r="J268" s="361">
        <v>1111.7722163223889</v>
      </c>
      <c r="K268" s="101"/>
      <c r="L268" s="356">
        <f t="shared" si="48"/>
        <v>0</v>
      </c>
      <c r="M268" s="453"/>
      <c r="N268" s="68"/>
      <c r="O268" s="362" t="s">
        <v>910</v>
      </c>
      <c r="P268" s="362" t="s">
        <v>495</v>
      </c>
      <c r="Q268" s="339"/>
    </row>
    <row r="269" spans="1:17" s="336" customFormat="1" ht="22.5">
      <c r="A269" s="240"/>
      <c r="B269" s="319">
        <f t="shared" si="47"/>
        <v>0</v>
      </c>
      <c r="C269" s="158"/>
      <c r="D269" s="398" t="s">
        <v>963</v>
      </c>
      <c r="E269" s="362" t="s">
        <v>964</v>
      </c>
      <c r="F269" s="350"/>
      <c r="G269" s="353"/>
      <c r="H269" s="18"/>
      <c r="I269" s="362" t="s">
        <v>82</v>
      </c>
      <c r="J269" s="361">
        <v>2223.5444326447778</v>
      </c>
      <c r="K269" s="101"/>
      <c r="L269" s="356">
        <f t="shared" si="48"/>
        <v>0</v>
      </c>
      <c r="M269" s="453"/>
      <c r="N269" s="68"/>
      <c r="O269" s="362" t="s">
        <v>910</v>
      </c>
      <c r="P269" s="362" t="s">
        <v>495</v>
      </c>
      <c r="Q269" s="339"/>
    </row>
    <row r="270" spans="1:17" s="336" customFormat="1" ht="22.5">
      <c r="A270" s="240"/>
      <c r="B270" s="319">
        <f t="shared" si="47"/>
        <v>0</v>
      </c>
      <c r="C270" s="158"/>
      <c r="D270" s="398" t="s">
        <v>965</v>
      </c>
      <c r="E270" s="362" t="s">
        <v>966</v>
      </c>
      <c r="F270" s="350"/>
      <c r="G270" s="353"/>
      <c r="H270" s="18"/>
      <c r="I270" s="362" t="s">
        <v>82</v>
      </c>
      <c r="J270" s="361">
        <v>2779.4305408059722</v>
      </c>
      <c r="K270" s="101"/>
      <c r="L270" s="356">
        <f t="shared" si="48"/>
        <v>0</v>
      </c>
      <c r="M270" s="453"/>
      <c r="N270" s="68"/>
      <c r="O270" s="362" t="s">
        <v>910</v>
      </c>
      <c r="P270" s="362" t="s">
        <v>495</v>
      </c>
      <c r="Q270" s="339"/>
    </row>
    <row r="271" spans="1:17" s="336" customFormat="1" ht="22.5">
      <c r="A271" s="240"/>
      <c r="B271" s="319">
        <f t="shared" si="47"/>
        <v>0</v>
      </c>
      <c r="C271" s="158"/>
      <c r="D271" s="398" t="s">
        <v>967</v>
      </c>
      <c r="E271" s="362" t="s">
        <v>968</v>
      </c>
      <c r="F271" s="350"/>
      <c r="G271" s="353"/>
      <c r="H271" s="18"/>
      <c r="I271" s="362" t="s">
        <v>82</v>
      </c>
      <c r="J271" s="361">
        <v>3705.9073877412961</v>
      </c>
      <c r="K271" s="101"/>
      <c r="L271" s="356">
        <f t="shared" si="48"/>
        <v>0</v>
      </c>
      <c r="M271" s="453"/>
      <c r="N271" s="68"/>
      <c r="O271" s="362" t="s">
        <v>910</v>
      </c>
      <c r="P271" s="362" t="s">
        <v>495</v>
      </c>
      <c r="Q271" s="339"/>
    </row>
    <row r="272" spans="1:17" s="336" customFormat="1" ht="22.5">
      <c r="A272" s="240"/>
      <c r="B272" s="319">
        <f t="shared" si="47"/>
        <v>0</v>
      </c>
      <c r="C272" s="158"/>
      <c r="D272" s="398" t="s">
        <v>969</v>
      </c>
      <c r="E272" s="362" t="s">
        <v>970</v>
      </c>
      <c r="F272" s="350"/>
      <c r="G272" s="353"/>
      <c r="H272" s="18"/>
      <c r="I272" s="362" t="s">
        <v>82</v>
      </c>
      <c r="J272" s="361">
        <v>4632.3842346766205</v>
      </c>
      <c r="K272" s="101"/>
      <c r="L272" s="356">
        <f t="shared" si="48"/>
        <v>0</v>
      </c>
      <c r="M272" s="453"/>
      <c r="N272" s="68"/>
      <c r="O272" s="362" t="s">
        <v>910</v>
      </c>
      <c r="P272" s="362" t="s">
        <v>495</v>
      </c>
      <c r="Q272" s="339"/>
    </row>
    <row r="273" spans="1:17" s="336" customFormat="1" ht="22.5">
      <c r="A273" s="240"/>
      <c r="B273" s="319">
        <f t="shared" si="47"/>
        <v>0</v>
      </c>
      <c r="C273" s="158"/>
      <c r="D273" s="398" t="s">
        <v>971</v>
      </c>
      <c r="E273" s="362" t="s">
        <v>972</v>
      </c>
      <c r="F273" s="350"/>
      <c r="G273" s="353"/>
      <c r="H273" s="18"/>
      <c r="I273" s="362" t="s">
        <v>82</v>
      </c>
      <c r="J273" s="361">
        <v>5558.8610816119444</v>
      </c>
      <c r="K273" s="101"/>
      <c r="L273" s="356">
        <f t="shared" si="48"/>
        <v>0</v>
      </c>
      <c r="M273" s="453"/>
      <c r="N273" s="68"/>
      <c r="O273" s="362" t="s">
        <v>910</v>
      </c>
      <c r="P273" s="362" t="s">
        <v>495</v>
      </c>
      <c r="Q273" s="339"/>
    </row>
    <row r="274" spans="1:17" s="336" customFormat="1" ht="22.5">
      <c r="A274" s="240"/>
      <c r="B274" s="319">
        <f t="shared" si="47"/>
        <v>0</v>
      </c>
      <c r="C274" s="158"/>
      <c r="D274" s="398" t="s">
        <v>973</v>
      </c>
      <c r="E274" s="362" t="s">
        <v>974</v>
      </c>
      <c r="F274" s="350"/>
      <c r="G274" s="353"/>
      <c r="H274" s="18"/>
      <c r="I274" s="362" t="s">
        <v>82</v>
      </c>
      <c r="J274" s="361">
        <v>6485.3379285472683</v>
      </c>
      <c r="K274" s="101"/>
      <c r="L274" s="356">
        <f t="shared" si="48"/>
        <v>0</v>
      </c>
      <c r="M274" s="453"/>
      <c r="N274" s="68"/>
      <c r="O274" s="362" t="s">
        <v>910</v>
      </c>
      <c r="P274" s="362" t="s">
        <v>495</v>
      </c>
      <c r="Q274" s="339"/>
    </row>
    <row r="275" spans="1:17" s="336" customFormat="1" ht="22.5">
      <c r="A275" s="240"/>
      <c r="B275" s="319">
        <f t="shared" si="47"/>
        <v>0</v>
      </c>
      <c r="C275" s="158"/>
      <c r="D275" s="398" t="s">
        <v>975</v>
      </c>
      <c r="E275" s="362" t="s">
        <v>976</v>
      </c>
      <c r="F275" s="350"/>
      <c r="G275" s="353"/>
      <c r="H275" s="18"/>
      <c r="I275" s="362" t="s">
        <v>82</v>
      </c>
      <c r="J275" s="361">
        <v>7411.8147754825923</v>
      </c>
      <c r="K275" s="101"/>
      <c r="L275" s="356">
        <f t="shared" si="48"/>
        <v>0</v>
      </c>
      <c r="M275" s="453"/>
      <c r="N275" s="68"/>
      <c r="O275" s="362" t="s">
        <v>910</v>
      </c>
      <c r="P275" s="362" t="s">
        <v>495</v>
      </c>
      <c r="Q275" s="339"/>
    </row>
    <row r="276" spans="1:17" s="336" customFormat="1" ht="22.5">
      <c r="A276" s="240"/>
      <c r="B276" s="319">
        <f t="shared" si="47"/>
        <v>0</v>
      </c>
      <c r="C276" s="158"/>
      <c r="D276" s="398" t="s">
        <v>977</v>
      </c>
      <c r="E276" s="362" t="s">
        <v>978</v>
      </c>
      <c r="F276" s="350"/>
      <c r="G276" s="353"/>
      <c r="H276" s="18"/>
      <c r="I276" s="362" t="s">
        <v>82</v>
      </c>
      <c r="J276" s="361">
        <v>9264.768469353241</v>
      </c>
      <c r="K276" s="101"/>
      <c r="L276" s="356">
        <f t="shared" si="48"/>
        <v>0</v>
      </c>
      <c r="M276" s="453"/>
      <c r="N276" s="68"/>
      <c r="O276" s="362" t="s">
        <v>910</v>
      </c>
      <c r="P276" s="362" t="s">
        <v>495</v>
      </c>
      <c r="Q276" s="339"/>
    </row>
    <row r="277" spans="1:17" s="336" customFormat="1" ht="22.5">
      <c r="A277" s="240"/>
      <c r="B277" s="319">
        <f t="shared" si="47"/>
        <v>0</v>
      </c>
      <c r="C277" s="158"/>
      <c r="D277" s="398" t="s">
        <v>979</v>
      </c>
      <c r="E277" s="362" t="s">
        <v>980</v>
      </c>
      <c r="F277" s="350"/>
      <c r="G277" s="353"/>
      <c r="H277" s="18"/>
      <c r="I277" s="362" t="s">
        <v>82</v>
      </c>
      <c r="J277" s="361">
        <v>11117.722163223889</v>
      </c>
      <c r="K277" s="101"/>
      <c r="L277" s="356">
        <f t="shared" si="48"/>
        <v>0</v>
      </c>
      <c r="M277" s="453"/>
      <c r="N277" s="68"/>
      <c r="O277" s="362" t="s">
        <v>910</v>
      </c>
      <c r="P277" s="362" t="s">
        <v>495</v>
      </c>
      <c r="Q277" s="339"/>
    </row>
    <row r="278" spans="1:17" s="336" customFormat="1" ht="22.5">
      <c r="A278" s="240"/>
      <c r="B278" s="319">
        <f t="shared" si="47"/>
        <v>0</v>
      </c>
      <c r="C278" s="158"/>
      <c r="D278" s="398" t="s">
        <v>981</v>
      </c>
      <c r="E278" s="362" t="s">
        <v>982</v>
      </c>
      <c r="F278" s="350"/>
      <c r="G278" s="353"/>
      <c r="H278" s="18"/>
      <c r="I278" s="362" t="s">
        <v>82</v>
      </c>
      <c r="J278" s="361">
        <v>14823.629550965185</v>
      </c>
      <c r="K278" s="101"/>
      <c r="L278" s="356">
        <f t="shared" si="48"/>
        <v>0</v>
      </c>
      <c r="M278" s="453"/>
      <c r="N278" s="68"/>
      <c r="O278" s="362" t="s">
        <v>910</v>
      </c>
      <c r="P278" s="362" t="s">
        <v>495</v>
      </c>
      <c r="Q278" s="339"/>
    </row>
    <row r="279" spans="1:17" s="336" customFormat="1" ht="22.5">
      <c r="A279" s="240"/>
      <c r="B279" s="319">
        <f t="shared" si="47"/>
        <v>0</v>
      </c>
      <c r="C279" s="158"/>
      <c r="D279" s="398" t="s">
        <v>983</v>
      </c>
      <c r="E279" s="362" t="s">
        <v>984</v>
      </c>
      <c r="F279" s="350"/>
      <c r="G279" s="353"/>
      <c r="H279" s="18"/>
      <c r="I279" s="362" t="s">
        <v>82</v>
      </c>
      <c r="J279" s="361">
        <v>18529.536938706482</v>
      </c>
      <c r="K279" s="101"/>
      <c r="L279" s="356">
        <f t="shared" si="48"/>
        <v>0</v>
      </c>
      <c r="M279" s="453"/>
      <c r="N279" s="68"/>
      <c r="O279" s="362" t="s">
        <v>910</v>
      </c>
      <c r="P279" s="362" t="s">
        <v>495</v>
      </c>
      <c r="Q279" s="339"/>
    </row>
    <row r="280" spans="1:17" s="336" customFormat="1" ht="123.75">
      <c r="A280" s="240"/>
      <c r="B280" s="319">
        <f t="shared" si="47"/>
        <v>0</v>
      </c>
      <c r="C280" s="158"/>
      <c r="D280" s="398" t="s">
        <v>985</v>
      </c>
      <c r="E280" s="362" t="s">
        <v>986</v>
      </c>
      <c r="F280" s="79"/>
      <c r="G280" s="362" t="s">
        <v>79</v>
      </c>
      <c r="H280" s="18"/>
      <c r="I280" s="362" t="s">
        <v>82</v>
      </c>
      <c r="J280" s="384"/>
      <c r="K280" s="356">
        <f>IF(F280=0,0,Assumptions!$D$211*F280+Assumptions!$E$211)</f>
        <v>0</v>
      </c>
      <c r="L280" s="356">
        <f t="shared" ref="L280" si="51">IF(K280="",J280,K280)*H280</f>
        <v>0</v>
      </c>
      <c r="M280" s="453"/>
      <c r="N280" s="68"/>
      <c r="O280" s="362" t="s">
        <v>987</v>
      </c>
      <c r="P280" s="362" t="s">
        <v>988</v>
      </c>
      <c r="Q280" s="339"/>
    </row>
    <row r="281" spans="1:17" s="336" customFormat="1" ht="22.5">
      <c r="A281" s="240"/>
      <c r="B281" s="319">
        <f t="shared" si="47"/>
        <v>0</v>
      </c>
      <c r="C281" s="158"/>
      <c r="D281" s="398" t="s">
        <v>989</v>
      </c>
      <c r="E281" s="362" t="s">
        <v>990</v>
      </c>
      <c r="F281" s="350"/>
      <c r="G281" s="353"/>
      <c r="H281" s="18"/>
      <c r="I281" s="362" t="s">
        <v>82</v>
      </c>
      <c r="J281" s="361">
        <v>2636.3722163223888</v>
      </c>
      <c r="K281" s="101"/>
      <c r="L281" s="356">
        <f t="shared" si="48"/>
        <v>0</v>
      </c>
      <c r="M281" s="453"/>
      <c r="N281" s="68"/>
      <c r="O281" s="362" t="s">
        <v>910</v>
      </c>
      <c r="P281" s="362" t="s">
        <v>495</v>
      </c>
      <c r="Q281" s="339"/>
    </row>
    <row r="282" spans="1:17" s="336" customFormat="1" ht="22.5">
      <c r="A282" s="240"/>
      <c r="B282" s="319">
        <f t="shared" si="47"/>
        <v>0</v>
      </c>
      <c r="C282" s="158"/>
      <c r="D282" s="398" t="s">
        <v>991</v>
      </c>
      <c r="E282" s="362" t="s">
        <v>992</v>
      </c>
      <c r="F282" s="350"/>
      <c r="G282" s="353"/>
      <c r="H282" s="18"/>
      <c r="I282" s="362" t="s">
        <v>82</v>
      </c>
      <c r="J282" s="361">
        <v>5272.7444326447776</v>
      </c>
      <c r="K282" s="101"/>
      <c r="L282" s="356">
        <f t="shared" si="48"/>
        <v>0</v>
      </c>
      <c r="M282" s="453"/>
      <c r="N282" s="68"/>
      <c r="O282" s="362" t="s">
        <v>910</v>
      </c>
      <c r="P282" s="362" t="s">
        <v>495</v>
      </c>
      <c r="Q282" s="339"/>
    </row>
    <row r="283" spans="1:17" s="336" customFormat="1" ht="22.5">
      <c r="A283" s="240"/>
      <c r="B283" s="319">
        <f t="shared" ref="B283:B346" si="52">IF(L283&gt;0,1,0)</f>
        <v>0</v>
      </c>
      <c r="C283" s="158"/>
      <c r="D283" s="398" t="s">
        <v>993</v>
      </c>
      <c r="E283" s="362" t="s">
        <v>994</v>
      </c>
      <c r="F283" s="350"/>
      <c r="G283" s="353"/>
      <c r="H283" s="18"/>
      <c r="I283" s="362" t="s">
        <v>82</v>
      </c>
      <c r="J283" s="361">
        <v>6590.9305408059718</v>
      </c>
      <c r="K283" s="101"/>
      <c r="L283" s="356">
        <f t="shared" si="48"/>
        <v>0</v>
      </c>
      <c r="M283" s="453"/>
      <c r="N283" s="68"/>
      <c r="O283" s="362" t="s">
        <v>910</v>
      </c>
      <c r="P283" s="362" t="s">
        <v>495</v>
      </c>
      <c r="Q283" s="339"/>
    </row>
    <row r="284" spans="1:17" s="336" customFormat="1" ht="22.5">
      <c r="A284" s="240"/>
      <c r="B284" s="319">
        <f t="shared" si="52"/>
        <v>0</v>
      </c>
      <c r="C284" s="158"/>
      <c r="D284" s="398" t="s">
        <v>995</v>
      </c>
      <c r="E284" s="362" t="s">
        <v>996</v>
      </c>
      <c r="F284" s="350"/>
      <c r="G284" s="353"/>
      <c r="H284" s="18"/>
      <c r="I284" s="362" t="s">
        <v>82</v>
      </c>
      <c r="J284" s="361">
        <v>8787.9073877412957</v>
      </c>
      <c r="K284" s="101"/>
      <c r="L284" s="356">
        <f t="shared" si="48"/>
        <v>0</v>
      </c>
      <c r="M284" s="453"/>
      <c r="N284" s="68"/>
      <c r="O284" s="362" t="s">
        <v>910</v>
      </c>
      <c r="P284" s="362" t="s">
        <v>495</v>
      </c>
      <c r="Q284" s="339"/>
    </row>
    <row r="285" spans="1:17" s="336" customFormat="1" ht="22.5">
      <c r="A285" s="240"/>
      <c r="B285" s="319">
        <f t="shared" si="52"/>
        <v>0</v>
      </c>
      <c r="C285" s="158"/>
      <c r="D285" s="398" t="s">
        <v>997</v>
      </c>
      <c r="E285" s="362" t="s">
        <v>998</v>
      </c>
      <c r="F285" s="350"/>
      <c r="G285" s="353"/>
      <c r="H285" s="18"/>
      <c r="I285" s="362" t="s">
        <v>82</v>
      </c>
      <c r="J285" s="361">
        <v>10984.88423467662</v>
      </c>
      <c r="K285" s="101"/>
      <c r="L285" s="356">
        <f t="shared" si="48"/>
        <v>0</v>
      </c>
      <c r="M285" s="453"/>
      <c r="N285" s="68"/>
      <c r="O285" s="362" t="s">
        <v>910</v>
      </c>
      <c r="P285" s="362" t="s">
        <v>495</v>
      </c>
      <c r="Q285" s="339"/>
    </row>
    <row r="286" spans="1:17" s="336" customFormat="1" ht="22.5">
      <c r="A286" s="240"/>
      <c r="B286" s="319">
        <f t="shared" si="52"/>
        <v>0</v>
      </c>
      <c r="C286" s="158"/>
      <c r="D286" s="398" t="s">
        <v>999</v>
      </c>
      <c r="E286" s="362" t="s">
        <v>1000</v>
      </c>
      <c r="F286" s="350"/>
      <c r="G286" s="353"/>
      <c r="H286" s="18"/>
      <c r="I286" s="362" t="s">
        <v>82</v>
      </c>
      <c r="J286" s="361">
        <v>13181.861081611944</v>
      </c>
      <c r="K286" s="101"/>
      <c r="L286" s="356">
        <f t="shared" si="48"/>
        <v>0</v>
      </c>
      <c r="M286" s="453"/>
      <c r="N286" s="68"/>
      <c r="O286" s="362" t="s">
        <v>910</v>
      </c>
      <c r="P286" s="362" t="s">
        <v>495</v>
      </c>
      <c r="Q286" s="339"/>
    </row>
    <row r="287" spans="1:17" s="336" customFormat="1" ht="22.5">
      <c r="A287" s="240"/>
      <c r="B287" s="319">
        <f t="shared" si="52"/>
        <v>0</v>
      </c>
      <c r="C287" s="158"/>
      <c r="D287" s="398" t="s">
        <v>1001</v>
      </c>
      <c r="E287" s="362" t="s">
        <v>1002</v>
      </c>
      <c r="F287" s="350"/>
      <c r="G287" s="353"/>
      <c r="H287" s="18"/>
      <c r="I287" s="362" t="s">
        <v>82</v>
      </c>
      <c r="J287" s="361">
        <v>15378.837928547269</v>
      </c>
      <c r="K287" s="101"/>
      <c r="L287" s="356">
        <f t="shared" si="48"/>
        <v>0</v>
      </c>
      <c r="M287" s="453"/>
      <c r="N287" s="68"/>
      <c r="O287" s="362" t="s">
        <v>910</v>
      </c>
      <c r="P287" s="362" t="s">
        <v>495</v>
      </c>
      <c r="Q287" s="339"/>
    </row>
    <row r="288" spans="1:17" s="336" customFormat="1" ht="22.5">
      <c r="A288" s="240"/>
      <c r="B288" s="319">
        <f t="shared" si="52"/>
        <v>0</v>
      </c>
      <c r="C288" s="158"/>
      <c r="D288" s="398" t="s">
        <v>1003</v>
      </c>
      <c r="E288" s="362" t="s">
        <v>1004</v>
      </c>
      <c r="F288" s="350"/>
      <c r="G288" s="353"/>
      <c r="H288" s="18"/>
      <c r="I288" s="362" t="s">
        <v>82</v>
      </c>
      <c r="J288" s="361">
        <v>17575.814775482591</v>
      </c>
      <c r="K288" s="101"/>
      <c r="L288" s="356">
        <f t="shared" si="48"/>
        <v>0</v>
      </c>
      <c r="M288" s="453"/>
      <c r="N288" s="68"/>
      <c r="O288" s="362" t="s">
        <v>910</v>
      </c>
      <c r="P288" s="362" t="s">
        <v>495</v>
      </c>
      <c r="Q288" s="339"/>
    </row>
    <row r="289" spans="1:17" s="336" customFormat="1" ht="22.5">
      <c r="A289" s="240"/>
      <c r="B289" s="319">
        <f t="shared" si="52"/>
        <v>0</v>
      </c>
      <c r="C289" s="158"/>
      <c r="D289" s="398" t="s">
        <v>1005</v>
      </c>
      <c r="E289" s="362" t="s">
        <v>1006</v>
      </c>
      <c r="F289" s="350"/>
      <c r="G289" s="353"/>
      <c r="H289" s="18"/>
      <c r="I289" s="362" t="s">
        <v>82</v>
      </c>
      <c r="J289" s="361">
        <v>21969.768469353239</v>
      </c>
      <c r="K289" s="101"/>
      <c r="L289" s="356">
        <f t="shared" si="48"/>
        <v>0</v>
      </c>
      <c r="M289" s="453"/>
      <c r="N289" s="68"/>
      <c r="O289" s="362" t="s">
        <v>910</v>
      </c>
      <c r="P289" s="362" t="s">
        <v>495</v>
      </c>
      <c r="Q289" s="339"/>
    </row>
    <row r="290" spans="1:17" s="336" customFormat="1" ht="22.5">
      <c r="A290" s="240"/>
      <c r="B290" s="319">
        <f t="shared" si="52"/>
        <v>0</v>
      </c>
      <c r="C290" s="158"/>
      <c r="D290" s="398" t="s">
        <v>1007</v>
      </c>
      <c r="E290" s="362" t="s">
        <v>1008</v>
      </c>
      <c r="F290" s="350"/>
      <c r="G290" s="353"/>
      <c r="H290" s="18"/>
      <c r="I290" s="362" t="s">
        <v>82</v>
      </c>
      <c r="J290" s="361">
        <v>26363.722163223887</v>
      </c>
      <c r="K290" s="101"/>
      <c r="L290" s="356">
        <f t="shared" si="48"/>
        <v>0</v>
      </c>
      <c r="M290" s="453"/>
      <c r="N290" s="68"/>
      <c r="O290" s="362" t="s">
        <v>910</v>
      </c>
      <c r="P290" s="362" t="s">
        <v>495</v>
      </c>
      <c r="Q290" s="339"/>
    </row>
    <row r="291" spans="1:17" s="336" customFormat="1" ht="22.5">
      <c r="A291" s="240"/>
      <c r="B291" s="319">
        <f t="shared" si="52"/>
        <v>0</v>
      </c>
      <c r="C291" s="158"/>
      <c r="D291" s="398" t="s">
        <v>1009</v>
      </c>
      <c r="E291" s="362" t="s">
        <v>1010</v>
      </c>
      <c r="F291" s="350"/>
      <c r="G291" s="353"/>
      <c r="H291" s="18"/>
      <c r="I291" s="362" t="s">
        <v>82</v>
      </c>
      <c r="J291" s="361">
        <v>35151.629550965183</v>
      </c>
      <c r="K291" s="101"/>
      <c r="L291" s="356">
        <f t="shared" si="48"/>
        <v>0</v>
      </c>
      <c r="M291" s="453"/>
      <c r="N291" s="68"/>
      <c r="O291" s="362" t="s">
        <v>910</v>
      </c>
      <c r="P291" s="362" t="s">
        <v>495</v>
      </c>
      <c r="Q291" s="339"/>
    </row>
    <row r="292" spans="1:17" s="336" customFormat="1" ht="22.5">
      <c r="A292" s="240"/>
      <c r="B292" s="319">
        <f t="shared" si="52"/>
        <v>0</v>
      </c>
      <c r="C292" s="158"/>
      <c r="D292" s="398" t="s">
        <v>1011</v>
      </c>
      <c r="E292" s="362" t="s">
        <v>1012</v>
      </c>
      <c r="F292" s="350"/>
      <c r="G292" s="353"/>
      <c r="H292" s="18"/>
      <c r="I292" s="362" t="s">
        <v>82</v>
      </c>
      <c r="J292" s="361">
        <v>43939.536938706478</v>
      </c>
      <c r="K292" s="101"/>
      <c r="L292" s="356">
        <f t="shared" si="48"/>
        <v>0</v>
      </c>
      <c r="M292" s="453"/>
      <c r="N292" s="68"/>
      <c r="O292" s="362" t="s">
        <v>910</v>
      </c>
      <c r="P292" s="362" t="s">
        <v>495</v>
      </c>
      <c r="Q292" s="339"/>
    </row>
    <row r="293" spans="1:17" s="336" customFormat="1" ht="22.5">
      <c r="A293" s="240"/>
      <c r="B293" s="319">
        <f t="shared" si="52"/>
        <v>0</v>
      </c>
      <c r="C293" s="158"/>
      <c r="D293" s="398" t="s">
        <v>1013</v>
      </c>
      <c r="E293" s="362" t="s">
        <v>1014</v>
      </c>
      <c r="F293" s="350"/>
      <c r="G293" s="353"/>
      <c r="H293" s="18"/>
      <c r="I293" s="362" t="s">
        <v>82</v>
      </c>
      <c r="J293" s="361">
        <v>118.47221632238887</v>
      </c>
      <c r="K293" s="101"/>
      <c r="L293" s="356">
        <f t="shared" ref="L293:L304" si="53">IF(K293="",J293,K293)*H293</f>
        <v>0</v>
      </c>
      <c r="M293" s="453"/>
      <c r="N293" s="68"/>
      <c r="O293" s="362" t="s">
        <v>910</v>
      </c>
      <c r="P293" s="362" t="s">
        <v>495</v>
      </c>
      <c r="Q293" s="339"/>
    </row>
    <row r="294" spans="1:17" s="336" customFormat="1" ht="22.5">
      <c r="A294" s="240"/>
      <c r="B294" s="319">
        <f t="shared" si="52"/>
        <v>0</v>
      </c>
      <c r="C294" s="158"/>
      <c r="D294" s="398" t="s">
        <v>1015</v>
      </c>
      <c r="E294" s="362" t="s">
        <v>1016</v>
      </c>
      <c r="F294" s="350"/>
      <c r="G294" s="353"/>
      <c r="H294" s="18"/>
      <c r="I294" s="362" t="s">
        <v>82</v>
      </c>
      <c r="J294" s="361">
        <v>236.94443264477775</v>
      </c>
      <c r="K294" s="101"/>
      <c r="L294" s="356">
        <f t="shared" si="53"/>
        <v>0</v>
      </c>
      <c r="M294" s="453"/>
      <c r="N294" s="68"/>
      <c r="O294" s="362" t="s">
        <v>910</v>
      </c>
      <c r="P294" s="362" t="s">
        <v>495</v>
      </c>
      <c r="Q294" s="339"/>
    </row>
    <row r="295" spans="1:17" s="336" customFormat="1" ht="22.5">
      <c r="A295" s="240"/>
      <c r="B295" s="319">
        <f t="shared" si="52"/>
        <v>0</v>
      </c>
      <c r="C295" s="158"/>
      <c r="D295" s="398" t="s">
        <v>1017</v>
      </c>
      <c r="E295" s="362" t="s">
        <v>1018</v>
      </c>
      <c r="F295" s="350"/>
      <c r="G295" s="353"/>
      <c r="H295" s="18"/>
      <c r="I295" s="362" t="s">
        <v>82</v>
      </c>
      <c r="J295" s="361">
        <v>296.18054080597221</v>
      </c>
      <c r="K295" s="101"/>
      <c r="L295" s="356">
        <f t="shared" si="53"/>
        <v>0</v>
      </c>
      <c r="M295" s="453"/>
      <c r="N295" s="68"/>
      <c r="O295" s="362" t="s">
        <v>910</v>
      </c>
      <c r="P295" s="362" t="s">
        <v>495</v>
      </c>
      <c r="Q295" s="339"/>
    </row>
    <row r="296" spans="1:17" s="336" customFormat="1" ht="22.5">
      <c r="A296" s="240"/>
      <c r="B296" s="319">
        <f t="shared" si="52"/>
        <v>0</v>
      </c>
      <c r="C296" s="158"/>
      <c r="D296" s="398" t="s">
        <v>1019</v>
      </c>
      <c r="E296" s="362" t="s">
        <v>1020</v>
      </c>
      <c r="F296" s="350"/>
      <c r="G296" s="353"/>
      <c r="H296" s="18"/>
      <c r="I296" s="362" t="s">
        <v>82</v>
      </c>
      <c r="J296" s="361">
        <v>394.90738774129625</v>
      </c>
      <c r="K296" s="101"/>
      <c r="L296" s="356">
        <f t="shared" si="53"/>
        <v>0</v>
      </c>
      <c r="M296" s="453"/>
      <c r="N296" s="68"/>
      <c r="O296" s="362" t="s">
        <v>910</v>
      </c>
      <c r="P296" s="362" t="s">
        <v>495</v>
      </c>
      <c r="Q296" s="339"/>
    </row>
    <row r="297" spans="1:17" s="336" customFormat="1" ht="22.5">
      <c r="A297" s="240"/>
      <c r="B297" s="319">
        <f t="shared" si="52"/>
        <v>0</v>
      </c>
      <c r="C297" s="158"/>
      <c r="D297" s="398" t="s">
        <v>1021</v>
      </c>
      <c r="E297" s="362" t="s">
        <v>1022</v>
      </c>
      <c r="F297" s="350"/>
      <c r="G297" s="353"/>
      <c r="H297" s="18"/>
      <c r="I297" s="362" t="s">
        <v>82</v>
      </c>
      <c r="J297" s="361">
        <v>493.63423467662028</v>
      </c>
      <c r="K297" s="101"/>
      <c r="L297" s="356">
        <f t="shared" si="53"/>
        <v>0</v>
      </c>
      <c r="M297" s="453"/>
      <c r="N297" s="68"/>
      <c r="O297" s="362" t="s">
        <v>910</v>
      </c>
      <c r="P297" s="362" t="s">
        <v>495</v>
      </c>
      <c r="Q297" s="339"/>
    </row>
    <row r="298" spans="1:17" s="336" customFormat="1" ht="22.5">
      <c r="A298" s="240"/>
      <c r="B298" s="319">
        <f t="shared" si="52"/>
        <v>0</v>
      </c>
      <c r="C298" s="158"/>
      <c r="D298" s="398" t="s">
        <v>1023</v>
      </c>
      <c r="E298" s="362" t="s">
        <v>1024</v>
      </c>
      <c r="F298" s="350"/>
      <c r="G298" s="353"/>
      <c r="H298" s="18"/>
      <c r="I298" s="362" t="s">
        <v>82</v>
      </c>
      <c r="J298" s="361">
        <v>592.36108161194443</v>
      </c>
      <c r="K298" s="101"/>
      <c r="L298" s="356">
        <f t="shared" si="53"/>
        <v>0</v>
      </c>
      <c r="M298" s="453"/>
      <c r="N298" s="68"/>
      <c r="O298" s="362" t="s">
        <v>910</v>
      </c>
      <c r="P298" s="362" t="s">
        <v>495</v>
      </c>
      <c r="Q298" s="339"/>
    </row>
    <row r="299" spans="1:17" s="336" customFormat="1" ht="22.5">
      <c r="A299" s="240"/>
      <c r="B299" s="319">
        <f t="shared" si="52"/>
        <v>0</v>
      </c>
      <c r="C299" s="158"/>
      <c r="D299" s="398" t="s">
        <v>1025</v>
      </c>
      <c r="E299" s="362" t="s">
        <v>1026</v>
      </c>
      <c r="F299" s="350"/>
      <c r="G299" s="353"/>
      <c r="H299" s="18"/>
      <c r="I299" s="362" t="s">
        <v>82</v>
      </c>
      <c r="J299" s="361">
        <v>691.08792854726846</v>
      </c>
      <c r="K299" s="101"/>
      <c r="L299" s="356">
        <f t="shared" si="53"/>
        <v>0</v>
      </c>
      <c r="M299" s="453"/>
      <c r="N299" s="68"/>
      <c r="O299" s="362" t="s">
        <v>910</v>
      </c>
      <c r="P299" s="362" t="s">
        <v>495</v>
      </c>
      <c r="Q299" s="339"/>
    </row>
    <row r="300" spans="1:17" s="336" customFormat="1" ht="22.5">
      <c r="A300" s="240"/>
      <c r="B300" s="319">
        <f t="shared" si="52"/>
        <v>0</v>
      </c>
      <c r="C300" s="158"/>
      <c r="D300" s="398" t="s">
        <v>1027</v>
      </c>
      <c r="E300" s="362" t="s">
        <v>1028</v>
      </c>
      <c r="F300" s="350"/>
      <c r="G300" s="353"/>
      <c r="H300" s="18"/>
      <c r="I300" s="362" t="s">
        <v>82</v>
      </c>
      <c r="J300" s="361">
        <v>789.81477548259249</v>
      </c>
      <c r="K300" s="101"/>
      <c r="L300" s="356">
        <f t="shared" si="53"/>
        <v>0</v>
      </c>
      <c r="M300" s="453"/>
      <c r="N300" s="68"/>
      <c r="O300" s="362" t="s">
        <v>910</v>
      </c>
      <c r="P300" s="362" t="s">
        <v>495</v>
      </c>
      <c r="Q300" s="339"/>
    </row>
    <row r="301" spans="1:17" s="336" customFormat="1" ht="22.5">
      <c r="A301" s="240"/>
      <c r="B301" s="319">
        <f t="shared" si="52"/>
        <v>0</v>
      </c>
      <c r="C301" s="158"/>
      <c r="D301" s="398" t="s">
        <v>1029</v>
      </c>
      <c r="E301" s="362" t="s">
        <v>1030</v>
      </c>
      <c r="F301" s="350"/>
      <c r="G301" s="353"/>
      <c r="H301" s="18"/>
      <c r="I301" s="362" t="s">
        <v>82</v>
      </c>
      <c r="J301" s="361">
        <v>987.26846935324056</v>
      </c>
      <c r="K301" s="101"/>
      <c r="L301" s="356">
        <f t="shared" si="53"/>
        <v>0</v>
      </c>
      <c r="M301" s="453"/>
      <c r="N301" s="68"/>
      <c r="O301" s="362" t="s">
        <v>910</v>
      </c>
      <c r="P301" s="362" t="s">
        <v>495</v>
      </c>
      <c r="Q301" s="339"/>
    </row>
    <row r="302" spans="1:17" s="336" customFormat="1" ht="22.5">
      <c r="A302" s="240"/>
      <c r="B302" s="319">
        <f t="shared" si="52"/>
        <v>0</v>
      </c>
      <c r="C302" s="158"/>
      <c r="D302" s="398" t="s">
        <v>1031</v>
      </c>
      <c r="E302" s="362" t="s">
        <v>1032</v>
      </c>
      <c r="F302" s="350"/>
      <c r="G302" s="353"/>
      <c r="H302" s="18"/>
      <c r="I302" s="362" t="s">
        <v>82</v>
      </c>
      <c r="J302" s="361">
        <v>1184.7221632238889</v>
      </c>
      <c r="K302" s="101"/>
      <c r="L302" s="356">
        <f t="shared" si="53"/>
        <v>0</v>
      </c>
      <c r="M302" s="453"/>
      <c r="N302" s="68"/>
      <c r="O302" s="362" t="s">
        <v>910</v>
      </c>
      <c r="P302" s="362" t="s">
        <v>495</v>
      </c>
      <c r="Q302" s="339"/>
    </row>
    <row r="303" spans="1:17" s="336" customFormat="1" ht="22.5">
      <c r="A303" s="240"/>
      <c r="B303" s="319">
        <f t="shared" si="52"/>
        <v>0</v>
      </c>
      <c r="C303" s="158"/>
      <c r="D303" s="398" t="s">
        <v>1033</v>
      </c>
      <c r="E303" s="362" t="s">
        <v>1034</v>
      </c>
      <c r="F303" s="350"/>
      <c r="G303" s="353"/>
      <c r="H303" s="18"/>
      <c r="I303" s="362" t="s">
        <v>82</v>
      </c>
      <c r="J303" s="361">
        <v>1579.629550965185</v>
      </c>
      <c r="K303" s="101"/>
      <c r="L303" s="356">
        <f t="shared" si="53"/>
        <v>0</v>
      </c>
      <c r="M303" s="453"/>
      <c r="N303" s="68"/>
      <c r="O303" s="362" t="s">
        <v>910</v>
      </c>
      <c r="P303" s="362" t="s">
        <v>495</v>
      </c>
      <c r="Q303" s="339"/>
    </row>
    <row r="304" spans="1:17" s="336" customFormat="1" ht="22.5">
      <c r="A304" s="240"/>
      <c r="B304" s="319">
        <f t="shared" si="52"/>
        <v>0</v>
      </c>
      <c r="C304" s="158"/>
      <c r="D304" s="398" t="s">
        <v>1035</v>
      </c>
      <c r="E304" s="362" t="s">
        <v>1036</v>
      </c>
      <c r="F304" s="350"/>
      <c r="G304" s="353"/>
      <c r="H304" s="18"/>
      <c r="I304" s="362" t="s">
        <v>82</v>
      </c>
      <c r="J304" s="361">
        <v>1974.5369387064811</v>
      </c>
      <c r="K304" s="101"/>
      <c r="L304" s="356">
        <f t="shared" si="53"/>
        <v>0</v>
      </c>
      <c r="M304" s="453"/>
      <c r="N304" s="68"/>
      <c r="O304" s="362" t="s">
        <v>910</v>
      </c>
      <c r="P304" s="362" t="s">
        <v>495</v>
      </c>
      <c r="Q304" s="339"/>
    </row>
    <row r="305" spans="1:17" s="336" customFormat="1" ht="33.75">
      <c r="A305" s="240"/>
      <c r="B305" s="319">
        <f t="shared" si="52"/>
        <v>0</v>
      </c>
      <c r="C305" s="158"/>
      <c r="D305" s="398" t="s">
        <v>1037</v>
      </c>
      <c r="E305" s="362" t="s">
        <v>1038</v>
      </c>
      <c r="F305" s="79"/>
      <c r="G305" s="362" t="s">
        <v>79</v>
      </c>
      <c r="H305" s="18"/>
      <c r="I305" s="362" t="s">
        <v>82</v>
      </c>
      <c r="J305" s="384"/>
      <c r="K305" s="356">
        <f>IF(F305=0,0,Assumptions!$D$212*F305+Assumptions!$E$212)</f>
        <v>0</v>
      </c>
      <c r="L305" s="356">
        <f t="shared" si="48"/>
        <v>0</v>
      </c>
      <c r="M305" s="453"/>
      <c r="N305" s="68"/>
      <c r="O305" s="362" t="s">
        <v>959</v>
      </c>
      <c r="P305" s="362" t="s">
        <v>1039</v>
      </c>
      <c r="Q305" s="339"/>
    </row>
    <row r="306" spans="1:17" s="336" customFormat="1" ht="22.5">
      <c r="A306" s="240"/>
      <c r="B306" s="319">
        <f t="shared" si="52"/>
        <v>0</v>
      </c>
      <c r="C306" s="158"/>
      <c r="D306" s="398" t="s">
        <v>1040</v>
      </c>
      <c r="E306" s="362" t="s">
        <v>1041</v>
      </c>
      <c r="F306" s="350"/>
      <c r="G306" s="353"/>
      <c r="H306" s="18"/>
      <c r="I306" s="362" t="s">
        <v>82</v>
      </c>
      <c r="J306" s="361">
        <v>258.88790255472304</v>
      </c>
      <c r="K306" s="101"/>
      <c r="L306" s="356">
        <f t="shared" si="48"/>
        <v>0</v>
      </c>
      <c r="M306" s="453"/>
      <c r="N306" s="68"/>
      <c r="O306" s="362" t="s">
        <v>910</v>
      </c>
      <c r="P306" s="362" t="s">
        <v>495</v>
      </c>
      <c r="Q306" s="339"/>
    </row>
    <row r="307" spans="1:17" s="336" customFormat="1" ht="22.5">
      <c r="A307" s="240"/>
      <c r="B307" s="319">
        <f t="shared" si="52"/>
        <v>0</v>
      </c>
      <c r="C307" s="158"/>
      <c r="D307" s="398" t="s">
        <v>1042</v>
      </c>
      <c r="E307" s="362" t="s">
        <v>1043</v>
      </c>
      <c r="F307" s="350"/>
      <c r="G307" s="353"/>
      <c r="H307" s="18"/>
      <c r="I307" s="362" t="s">
        <v>82</v>
      </c>
      <c r="J307" s="361">
        <v>517.77580510944608</v>
      </c>
      <c r="K307" s="101"/>
      <c r="L307" s="356">
        <f t="shared" si="48"/>
        <v>0</v>
      </c>
      <c r="M307" s="453"/>
      <c r="N307" s="68"/>
      <c r="O307" s="362" t="s">
        <v>910</v>
      </c>
      <c r="P307" s="362" t="s">
        <v>495</v>
      </c>
      <c r="Q307" s="339"/>
    </row>
    <row r="308" spans="1:17" s="336" customFormat="1" ht="22.5">
      <c r="A308" s="240"/>
      <c r="B308" s="319">
        <f t="shared" si="52"/>
        <v>0</v>
      </c>
      <c r="C308" s="158"/>
      <c r="D308" s="398" t="s">
        <v>1044</v>
      </c>
      <c r="E308" s="362" t="s">
        <v>1045</v>
      </c>
      <c r="F308" s="350"/>
      <c r="G308" s="353"/>
      <c r="H308" s="18"/>
      <c r="I308" s="362" t="s">
        <v>82</v>
      </c>
      <c r="J308" s="361">
        <v>647.2197563868076</v>
      </c>
      <c r="K308" s="101"/>
      <c r="L308" s="356">
        <f t="shared" ref="L308:L357" si="54">IF(K308="",J308,K308)*H308</f>
        <v>0</v>
      </c>
      <c r="M308" s="453"/>
      <c r="N308" s="68"/>
      <c r="O308" s="362" t="s">
        <v>910</v>
      </c>
      <c r="P308" s="362" t="s">
        <v>495</v>
      </c>
      <c r="Q308" s="339"/>
    </row>
    <row r="309" spans="1:17" s="336" customFormat="1" ht="22.5">
      <c r="A309" s="240"/>
      <c r="B309" s="319">
        <f t="shared" si="52"/>
        <v>0</v>
      </c>
      <c r="C309" s="158"/>
      <c r="D309" s="398" t="s">
        <v>1046</v>
      </c>
      <c r="E309" s="362" t="s">
        <v>1047</v>
      </c>
      <c r="F309" s="350"/>
      <c r="G309" s="353"/>
      <c r="H309" s="18"/>
      <c r="I309" s="362" t="s">
        <v>82</v>
      </c>
      <c r="J309" s="361">
        <v>862.95967518241014</v>
      </c>
      <c r="K309" s="101"/>
      <c r="L309" s="356">
        <f t="shared" si="54"/>
        <v>0</v>
      </c>
      <c r="M309" s="453"/>
      <c r="N309" s="68"/>
      <c r="O309" s="362" t="s">
        <v>910</v>
      </c>
      <c r="P309" s="362" t="s">
        <v>495</v>
      </c>
      <c r="Q309" s="339"/>
    </row>
    <row r="310" spans="1:17" s="336" customFormat="1" ht="22.5">
      <c r="A310" s="240"/>
      <c r="B310" s="319">
        <f t="shared" si="52"/>
        <v>0</v>
      </c>
      <c r="C310" s="158"/>
      <c r="D310" s="398" t="s">
        <v>1048</v>
      </c>
      <c r="E310" s="362" t="s">
        <v>1049</v>
      </c>
      <c r="F310" s="350"/>
      <c r="G310" s="353"/>
      <c r="H310" s="18"/>
      <c r="I310" s="362" t="s">
        <v>82</v>
      </c>
      <c r="J310" s="361">
        <v>1078.6995939780127</v>
      </c>
      <c r="K310" s="101"/>
      <c r="L310" s="356">
        <f t="shared" si="54"/>
        <v>0</v>
      </c>
      <c r="M310" s="453"/>
      <c r="N310" s="68"/>
      <c r="O310" s="362" t="s">
        <v>910</v>
      </c>
      <c r="P310" s="362" t="s">
        <v>495</v>
      </c>
      <c r="Q310" s="339"/>
    </row>
    <row r="311" spans="1:17" s="336" customFormat="1" ht="22.5">
      <c r="A311" s="240"/>
      <c r="B311" s="319">
        <f t="shared" si="52"/>
        <v>0</v>
      </c>
      <c r="C311" s="158"/>
      <c r="D311" s="398" t="s">
        <v>1050</v>
      </c>
      <c r="E311" s="362" t="s">
        <v>1051</v>
      </c>
      <c r="F311" s="350"/>
      <c r="G311" s="353"/>
      <c r="H311" s="18"/>
      <c r="I311" s="362" t="s">
        <v>82</v>
      </c>
      <c r="J311" s="361">
        <v>1294.4395127736152</v>
      </c>
      <c r="K311" s="101"/>
      <c r="L311" s="356">
        <f t="shared" si="54"/>
        <v>0</v>
      </c>
      <c r="M311" s="453"/>
      <c r="N311" s="68"/>
      <c r="O311" s="362" t="s">
        <v>910</v>
      </c>
      <c r="P311" s="362" t="s">
        <v>495</v>
      </c>
      <c r="Q311" s="339"/>
    </row>
    <row r="312" spans="1:17" s="336" customFormat="1" ht="22.5">
      <c r="A312" s="240"/>
      <c r="B312" s="319">
        <f t="shared" si="52"/>
        <v>0</v>
      </c>
      <c r="C312" s="158"/>
      <c r="D312" s="398" t="s">
        <v>1052</v>
      </c>
      <c r="E312" s="362" t="s">
        <v>1053</v>
      </c>
      <c r="F312" s="350"/>
      <c r="G312" s="353"/>
      <c r="H312" s="18"/>
      <c r="I312" s="362" t="s">
        <v>82</v>
      </c>
      <c r="J312" s="361">
        <v>1510.1794315692177</v>
      </c>
      <c r="K312" s="101"/>
      <c r="L312" s="356">
        <f t="shared" si="54"/>
        <v>0</v>
      </c>
      <c r="M312" s="453"/>
      <c r="N312" s="68"/>
      <c r="O312" s="362" t="s">
        <v>910</v>
      </c>
      <c r="P312" s="362" t="s">
        <v>495</v>
      </c>
      <c r="Q312" s="339"/>
    </row>
    <row r="313" spans="1:17" s="336" customFormat="1" ht="22.5">
      <c r="A313" s="240"/>
      <c r="B313" s="319">
        <f t="shared" si="52"/>
        <v>0</v>
      </c>
      <c r="C313" s="158"/>
      <c r="D313" s="398" t="s">
        <v>1054</v>
      </c>
      <c r="E313" s="362" t="s">
        <v>1055</v>
      </c>
      <c r="F313" s="350"/>
      <c r="G313" s="353"/>
      <c r="H313" s="18"/>
      <c r="I313" s="362" t="s">
        <v>82</v>
      </c>
      <c r="J313" s="361">
        <v>1725.9193503648203</v>
      </c>
      <c r="K313" s="101"/>
      <c r="L313" s="356">
        <f t="shared" si="54"/>
        <v>0</v>
      </c>
      <c r="M313" s="453"/>
      <c r="N313" s="68"/>
      <c r="O313" s="362" t="s">
        <v>910</v>
      </c>
      <c r="P313" s="362" t="s">
        <v>495</v>
      </c>
      <c r="Q313" s="339"/>
    </row>
    <row r="314" spans="1:17" s="336" customFormat="1" ht="22.5">
      <c r="A314" s="240"/>
      <c r="B314" s="319">
        <f t="shared" si="52"/>
        <v>0</v>
      </c>
      <c r="C314" s="158"/>
      <c r="D314" s="398" t="s">
        <v>1056</v>
      </c>
      <c r="E314" s="362" t="s">
        <v>1057</v>
      </c>
      <c r="F314" s="350"/>
      <c r="G314" s="353"/>
      <c r="H314" s="18"/>
      <c r="I314" s="362" t="s">
        <v>82</v>
      </c>
      <c r="J314" s="361">
        <v>2157.3991879560253</v>
      </c>
      <c r="K314" s="101"/>
      <c r="L314" s="356">
        <f t="shared" si="54"/>
        <v>0</v>
      </c>
      <c r="M314" s="453"/>
      <c r="N314" s="68"/>
      <c r="O314" s="362" t="s">
        <v>910</v>
      </c>
      <c r="P314" s="362" t="s">
        <v>495</v>
      </c>
      <c r="Q314" s="339"/>
    </row>
    <row r="315" spans="1:17" s="336" customFormat="1" ht="22.5">
      <c r="A315" s="240"/>
      <c r="B315" s="319">
        <f t="shared" si="52"/>
        <v>0</v>
      </c>
      <c r="C315" s="158"/>
      <c r="D315" s="398" t="s">
        <v>1058</v>
      </c>
      <c r="E315" s="362" t="s">
        <v>1059</v>
      </c>
      <c r="F315" s="350"/>
      <c r="G315" s="353"/>
      <c r="H315" s="18"/>
      <c r="I315" s="362" t="s">
        <v>82</v>
      </c>
      <c r="J315" s="361">
        <v>2588.8790255472304</v>
      </c>
      <c r="K315" s="101"/>
      <c r="L315" s="356">
        <f t="shared" si="54"/>
        <v>0</v>
      </c>
      <c r="M315" s="453"/>
      <c r="N315" s="68"/>
      <c r="O315" s="362" t="s">
        <v>910</v>
      </c>
      <c r="P315" s="362" t="s">
        <v>495</v>
      </c>
      <c r="Q315" s="339"/>
    </row>
    <row r="316" spans="1:17" s="336" customFormat="1" ht="22.5">
      <c r="A316" s="240"/>
      <c r="B316" s="319">
        <f t="shared" si="52"/>
        <v>0</v>
      </c>
      <c r="C316" s="158"/>
      <c r="D316" s="398" t="s">
        <v>1060</v>
      </c>
      <c r="E316" s="362" t="s">
        <v>1061</v>
      </c>
      <c r="F316" s="350"/>
      <c r="G316" s="353"/>
      <c r="H316" s="18"/>
      <c r="I316" s="362" t="s">
        <v>82</v>
      </c>
      <c r="J316" s="361">
        <v>3451.8387007296405</v>
      </c>
      <c r="K316" s="101"/>
      <c r="L316" s="356">
        <f t="shared" si="54"/>
        <v>0</v>
      </c>
      <c r="M316" s="453"/>
      <c r="N316" s="68"/>
      <c r="O316" s="362" t="s">
        <v>910</v>
      </c>
      <c r="P316" s="362" t="s">
        <v>495</v>
      </c>
      <c r="Q316" s="339"/>
    </row>
    <row r="317" spans="1:17" s="336" customFormat="1" ht="22.5">
      <c r="A317" s="240"/>
      <c r="B317" s="319">
        <f t="shared" si="52"/>
        <v>0</v>
      </c>
      <c r="C317" s="158"/>
      <c r="D317" s="398" t="s">
        <v>1062</v>
      </c>
      <c r="E317" s="362" t="s">
        <v>1063</v>
      </c>
      <c r="F317" s="350"/>
      <c r="G317" s="353"/>
      <c r="H317" s="18"/>
      <c r="I317" s="362" t="s">
        <v>82</v>
      </c>
      <c r="J317" s="361">
        <v>4314.7983759120507</v>
      </c>
      <c r="K317" s="101"/>
      <c r="L317" s="356">
        <f t="shared" si="54"/>
        <v>0</v>
      </c>
      <c r="M317" s="453"/>
      <c r="N317" s="68"/>
      <c r="O317" s="362" t="s">
        <v>910</v>
      </c>
      <c r="P317" s="362" t="s">
        <v>495</v>
      </c>
      <c r="Q317" s="339"/>
    </row>
    <row r="318" spans="1:17" s="336" customFormat="1" ht="33.75">
      <c r="A318" s="240"/>
      <c r="B318" s="319">
        <f t="shared" si="52"/>
        <v>0</v>
      </c>
      <c r="C318" s="158"/>
      <c r="D318" s="398" t="s">
        <v>1064</v>
      </c>
      <c r="E318" s="362" t="s">
        <v>1065</v>
      </c>
      <c r="F318" s="79"/>
      <c r="G318" s="362" t="s">
        <v>79</v>
      </c>
      <c r="H318" s="18"/>
      <c r="I318" s="362" t="s">
        <v>82</v>
      </c>
      <c r="J318" s="384"/>
      <c r="K318" s="356">
        <f>IF(F318=0,0,Assumptions!$D$213*F318+Assumptions!$E$213)</f>
        <v>0</v>
      </c>
      <c r="L318" s="356">
        <f t="shared" si="54"/>
        <v>0</v>
      </c>
      <c r="M318" s="453"/>
      <c r="N318" s="68"/>
      <c r="O318" s="362" t="s">
        <v>959</v>
      </c>
      <c r="P318" s="362" t="s">
        <v>1066</v>
      </c>
      <c r="Q318" s="339"/>
    </row>
    <row r="319" spans="1:17" s="336" customFormat="1" ht="22.5">
      <c r="A319" s="240"/>
      <c r="B319" s="319">
        <f t="shared" si="52"/>
        <v>0</v>
      </c>
      <c r="C319" s="158"/>
      <c r="D319" s="398" t="s">
        <v>1067</v>
      </c>
      <c r="E319" s="362" t="s">
        <v>1068</v>
      </c>
      <c r="F319" s="350"/>
      <c r="G319" s="353"/>
      <c r="H319" s="18"/>
      <c r="I319" s="362" t="s">
        <v>82</v>
      </c>
      <c r="J319" s="361">
        <v>640.03790255472302</v>
      </c>
      <c r="K319" s="101"/>
      <c r="L319" s="356">
        <f t="shared" si="54"/>
        <v>0</v>
      </c>
      <c r="M319" s="453"/>
      <c r="N319" s="68"/>
      <c r="O319" s="362" t="s">
        <v>910</v>
      </c>
      <c r="P319" s="362" t="s">
        <v>495</v>
      </c>
      <c r="Q319" s="339"/>
    </row>
    <row r="320" spans="1:17" s="336" customFormat="1" ht="22.5">
      <c r="A320" s="240"/>
      <c r="B320" s="319">
        <f t="shared" si="52"/>
        <v>0</v>
      </c>
      <c r="C320" s="158"/>
      <c r="D320" s="398" t="s">
        <v>1069</v>
      </c>
      <c r="E320" s="362" t="s">
        <v>1070</v>
      </c>
      <c r="F320" s="350"/>
      <c r="G320" s="353"/>
      <c r="H320" s="18"/>
      <c r="I320" s="362" t="s">
        <v>82</v>
      </c>
      <c r="J320" s="361">
        <v>1280.075805109446</v>
      </c>
      <c r="K320" s="101"/>
      <c r="L320" s="356">
        <f t="shared" si="54"/>
        <v>0</v>
      </c>
      <c r="M320" s="453"/>
      <c r="N320" s="68"/>
      <c r="O320" s="362" t="s">
        <v>910</v>
      </c>
      <c r="P320" s="362" t="s">
        <v>495</v>
      </c>
      <c r="Q320" s="339"/>
    </row>
    <row r="321" spans="1:17" s="336" customFormat="1" ht="22.5">
      <c r="A321" s="240"/>
      <c r="B321" s="319">
        <f t="shared" si="52"/>
        <v>0</v>
      </c>
      <c r="C321" s="158"/>
      <c r="D321" s="398" t="s">
        <v>1071</v>
      </c>
      <c r="E321" s="362" t="s">
        <v>1072</v>
      </c>
      <c r="F321" s="350"/>
      <c r="G321" s="353"/>
      <c r="H321" s="18"/>
      <c r="I321" s="362" t="s">
        <v>82</v>
      </c>
      <c r="J321" s="361">
        <v>1600.0947563868076</v>
      </c>
      <c r="K321" s="101"/>
      <c r="L321" s="356">
        <f t="shared" si="54"/>
        <v>0</v>
      </c>
      <c r="M321" s="453"/>
      <c r="N321" s="68"/>
      <c r="O321" s="362" t="s">
        <v>910</v>
      </c>
      <c r="P321" s="362" t="s">
        <v>495</v>
      </c>
      <c r="Q321" s="339"/>
    </row>
    <row r="322" spans="1:17" s="336" customFormat="1" ht="22.5">
      <c r="A322" s="240"/>
      <c r="B322" s="319">
        <f t="shared" si="52"/>
        <v>0</v>
      </c>
      <c r="C322" s="158"/>
      <c r="D322" s="398" t="s">
        <v>1073</v>
      </c>
      <c r="E322" s="362" t="s">
        <v>1074</v>
      </c>
      <c r="F322" s="350"/>
      <c r="G322" s="353"/>
      <c r="H322" s="18"/>
      <c r="I322" s="362" t="s">
        <v>82</v>
      </c>
      <c r="J322" s="361">
        <v>2133.4596751824101</v>
      </c>
      <c r="K322" s="101"/>
      <c r="L322" s="356">
        <f t="shared" si="54"/>
        <v>0</v>
      </c>
      <c r="M322" s="453"/>
      <c r="N322" s="68"/>
      <c r="O322" s="362" t="s">
        <v>910</v>
      </c>
      <c r="P322" s="362" t="s">
        <v>495</v>
      </c>
      <c r="Q322" s="339"/>
    </row>
    <row r="323" spans="1:17" s="336" customFormat="1" ht="22.5">
      <c r="A323" s="240"/>
      <c r="B323" s="319">
        <f t="shared" si="52"/>
        <v>0</v>
      </c>
      <c r="C323" s="158"/>
      <c r="D323" s="398" t="s">
        <v>1075</v>
      </c>
      <c r="E323" s="362" t="s">
        <v>1076</v>
      </c>
      <c r="F323" s="350"/>
      <c r="G323" s="353"/>
      <c r="H323" s="18"/>
      <c r="I323" s="362" t="s">
        <v>82</v>
      </c>
      <c r="J323" s="361">
        <v>2666.8245939780127</v>
      </c>
      <c r="K323" s="101"/>
      <c r="L323" s="356">
        <f t="shared" si="54"/>
        <v>0</v>
      </c>
      <c r="M323" s="453"/>
      <c r="N323" s="68"/>
      <c r="O323" s="362" t="s">
        <v>910</v>
      </c>
      <c r="P323" s="362" t="s">
        <v>495</v>
      </c>
      <c r="Q323" s="339"/>
    </row>
    <row r="324" spans="1:17" s="336" customFormat="1" ht="22.5">
      <c r="A324" s="240"/>
      <c r="B324" s="319">
        <f t="shared" si="52"/>
        <v>0</v>
      </c>
      <c r="C324" s="158"/>
      <c r="D324" s="398" t="s">
        <v>1077</v>
      </c>
      <c r="E324" s="362" t="s">
        <v>1078</v>
      </c>
      <c r="F324" s="350"/>
      <c r="G324" s="353"/>
      <c r="H324" s="18"/>
      <c r="I324" s="362" t="s">
        <v>82</v>
      </c>
      <c r="J324" s="361">
        <v>3200.1895127736152</v>
      </c>
      <c r="K324" s="101"/>
      <c r="L324" s="356">
        <f t="shared" si="54"/>
        <v>0</v>
      </c>
      <c r="M324" s="453"/>
      <c r="N324" s="68"/>
      <c r="O324" s="362" t="s">
        <v>910</v>
      </c>
      <c r="P324" s="362" t="s">
        <v>495</v>
      </c>
      <c r="Q324" s="339"/>
    </row>
    <row r="325" spans="1:17" s="336" customFormat="1" ht="22.5">
      <c r="A325" s="240"/>
      <c r="B325" s="319">
        <f t="shared" si="52"/>
        <v>0</v>
      </c>
      <c r="C325" s="158"/>
      <c r="D325" s="398" t="s">
        <v>1079</v>
      </c>
      <c r="E325" s="362" t="s">
        <v>1080</v>
      </c>
      <c r="F325" s="350"/>
      <c r="G325" s="353"/>
      <c r="H325" s="18"/>
      <c r="I325" s="362" t="s">
        <v>82</v>
      </c>
      <c r="J325" s="361">
        <v>3733.5544315692177</v>
      </c>
      <c r="K325" s="101"/>
      <c r="L325" s="356">
        <f t="shared" si="54"/>
        <v>0</v>
      </c>
      <c r="M325" s="453"/>
      <c r="N325" s="68"/>
      <c r="O325" s="362" t="s">
        <v>910</v>
      </c>
      <c r="P325" s="362" t="s">
        <v>495</v>
      </c>
      <c r="Q325" s="339"/>
    </row>
    <row r="326" spans="1:17" s="336" customFormat="1" ht="22.5">
      <c r="A326" s="240"/>
      <c r="B326" s="319">
        <f t="shared" si="52"/>
        <v>0</v>
      </c>
      <c r="C326" s="158"/>
      <c r="D326" s="398" t="s">
        <v>1081</v>
      </c>
      <c r="E326" s="362" t="s">
        <v>1082</v>
      </c>
      <c r="F326" s="350"/>
      <c r="G326" s="353"/>
      <c r="H326" s="18"/>
      <c r="I326" s="362" t="s">
        <v>82</v>
      </c>
      <c r="J326" s="361">
        <v>4266.9193503648203</v>
      </c>
      <c r="K326" s="101"/>
      <c r="L326" s="356">
        <f t="shared" si="54"/>
        <v>0</v>
      </c>
      <c r="M326" s="453"/>
      <c r="N326" s="68"/>
      <c r="O326" s="362" t="s">
        <v>910</v>
      </c>
      <c r="P326" s="362" t="s">
        <v>495</v>
      </c>
      <c r="Q326" s="339"/>
    </row>
    <row r="327" spans="1:17" s="336" customFormat="1" ht="22.5">
      <c r="A327" s="240"/>
      <c r="B327" s="319">
        <f t="shared" si="52"/>
        <v>0</v>
      </c>
      <c r="C327" s="158"/>
      <c r="D327" s="398" t="s">
        <v>1083</v>
      </c>
      <c r="E327" s="362" t="s">
        <v>1084</v>
      </c>
      <c r="F327" s="350"/>
      <c r="G327" s="353"/>
      <c r="H327" s="18"/>
      <c r="I327" s="362" t="s">
        <v>82</v>
      </c>
      <c r="J327" s="361">
        <v>5333.6491879560253</v>
      </c>
      <c r="K327" s="101"/>
      <c r="L327" s="356">
        <f t="shared" si="54"/>
        <v>0</v>
      </c>
      <c r="M327" s="453"/>
      <c r="N327" s="68"/>
      <c r="O327" s="362" t="s">
        <v>910</v>
      </c>
      <c r="P327" s="362" t="s">
        <v>495</v>
      </c>
      <c r="Q327" s="339"/>
    </row>
    <row r="328" spans="1:17" s="336" customFormat="1" ht="22.5">
      <c r="A328" s="240"/>
      <c r="B328" s="319">
        <f t="shared" si="52"/>
        <v>0</v>
      </c>
      <c r="C328" s="158"/>
      <c r="D328" s="398" t="s">
        <v>1085</v>
      </c>
      <c r="E328" s="362" t="s">
        <v>1086</v>
      </c>
      <c r="F328" s="350"/>
      <c r="G328" s="353"/>
      <c r="H328" s="18"/>
      <c r="I328" s="362" t="s">
        <v>82</v>
      </c>
      <c r="J328" s="361">
        <v>6400.3790255472304</v>
      </c>
      <c r="K328" s="101"/>
      <c r="L328" s="356">
        <f t="shared" si="54"/>
        <v>0</v>
      </c>
      <c r="M328" s="453"/>
      <c r="N328" s="68"/>
      <c r="O328" s="362" t="s">
        <v>910</v>
      </c>
      <c r="P328" s="362" t="s">
        <v>495</v>
      </c>
      <c r="Q328" s="339"/>
    </row>
    <row r="329" spans="1:17" s="336" customFormat="1" ht="22.5">
      <c r="A329" s="240"/>
      <c r="B329" s="319">
        <f t="shared" si="52"/>
        <v>0</v>
      </c>
      <c r="C329" s="158"/>
      <c r="D329" s="398" t="s">
        <v>1087</v>
      </c>
      <c r="E329" s="362" t="s">
        <v>1088</v>
      </c>
      <c r="F329" s="350"/>
      <c r="G329" s="353"/>
      <c r="H329" s="18"/>
      <c r="I329" s="362" t="s">
        <v>82</v>
      </c>
      <c r="J329" s="361">
        <v>8533.8387007296405</v>
      </c>
      <c r="K329" s="101"/>
      <c r="L329" s="356">
        <f t="shared" si="54"/>
        <v>0</v>
      </c>
      <c r="M329" s="453"/>
      <c r="N329" s="68"/>
      <c r="O329" s="362" t="s">
        <v>910</v>
      </c>
      <c r="P329" s="362" t="s">
        <v>495</v>
      </c>
      <c r="Q329" s="339"/>
    </row>
    <row r="330" spans="1:17" s="336" customFormat="1" ht="22.5">
      <c r="A330" s="240"/>
      <c r="B330" s="319">
        <f t="shared" si="52"/>
        <v>0</v>
      </c>
      <c r="C330" s="158"/>
      <c r="D330" s="398" t="s">
        <v>1089</v>
      </c>
      <c r="E330" s="362" t="s">
        <v>1090</v>
      </c>
      <c r="F330" s="350"/>
      <c r="G330" s="353"/>
      <c r="H330" s="18"/>
      <c r="I330" s="362" t="s">
        <v>82</v>
      </c>
      <c r="J330" s="361">
        <v>10667.298375912051</v>
      </c>
      <c r="K330" s="101"/>
      <c r="L330" s="356">
        <f t="shared" si="54"/>
        <v>0</v>
      </c>
      <c r="M330" s="453"/>
      <c r="N330" s="68"/>
      <c r="O330" s="362" t="s">
        <v>910</v>
      </c>
      <c r="P330" s="362" t="s">
        <v>495</v>
      </c>
      <c r="Q330" s="339"/>
    </row>
    <row r="331" spans="1:17" s="336" customFormat="1" ht="22.5">
      <c r="A331" s="240"/>
      <c r="B331" s="319">
        <f t="shared" si="52"/>
        <v>0</v>
      </c>
      <c r="C331" s="158"/>
      <c r="D331" s="398" t="s">
        <v>1091</v>
      </c>
      <c r="E331" s="362" t="s">
        <v>1092</v>
      </c>
      <c r="F331" s="350"/>
      <c r="G331" s="353"/>
      <c r="H331" s="18"/>
      <c r="I331" s="362" t="s">
        <v>82</v>
      </c>
      <c r="J331" s="361">
        <v>10.562902554723033</v>
      </c>
      <c r="K331" s="101"/>
      <c r="L331" s="356">
        <f t="shared" ref="L331:L342" si="55">IF(K331="",J331,K331)*H331</f>
        <v>0</v>
      </c>
      <c r="M331" s="453"/>
      <c r="N331" s="68"/>
      <c r="O331" s="362" t="s">
        <v>910</v>
      </c>
      <c r="P331" s="362" t="s">
        <v>495</v>
      </c>
      <c r="Q331" s="339"/>
    </row>
    <row r="332" spans="1:17" s="336" customFormat="1" ht="22.5">
      <c r="A332" s="240"/>
      <c r="B332" s="319">
        <f t="shared" si="52"/>
        <v>0</v>
      </c>
      <c r="C332" s="158"/>
      <c r="D332" s="398" t="s">
        <v>1093</v>
      </c>
      <c r="E332" s="362" t="s">
        <v>1094</v>
      </c>
      <c r="F332" s="350"/>
      <c r="G332" s="353"/>
      <c r="H332" s="18"/>
      <c r="I332" s="362" t="s">
        <v>82</v>
      </c>
      <c r="J332" s="361">
        <v>21.125805109446066</v>
      </c>
      <c r="K332" s="101"/>
      <c r="L332" s="356">
        <f t="shared" si="55"/>
        <v>0</v>
      </c>
      <c r="M332" s="453"/>
      <c r="N332" s="68"/>
      <c r="O332" s="362" t="s">
        <v>910</v>
      </c>
      <c r="P332" s="362" t="s">
        <v>495</v>
      </c>
      <c r="Q332" s="339"/>
    </row>
    <row r="333" spans="1:17" s="336" customFormat="1" ht="22.5">
      <c r="A333" s="240"/>
      <c r="B333" s="319">
        <f t="shared" si="52"/>
        <v>0</v>
      </c>
      <c r="C333" s="158"/>
      <c r="D333" s="398" t="s">
        <v>1095</v>
      </c>
      <c r="E333" s="362" t="s">
        <v>1096</v>
      </c>
      <c r="F333" s="350"/>
      <c r="G333" s="353"/>
      <c r="H333" s="18"/>
      <c r="I333" s="362" t="s">
        <v>82</v>
      </c>
      <c r="J333" s="361">
        <v>26.407256386807582</v>
      </c>
      <c r="K333" s="101"/>
      <c r="L333" s="356">
        <f t="shared" si="55"/>
        <v>0</v>
      </c>
      <c r="M333" s="453"/>
      <c r="N333" s="68"/>
      <c r="O333" s="362" t="s">
        <v>910</v>
      </c>
      <c r="P333" s="362" t="s">
        <v>495</v>
      </c>
      <c r="Q333" s="339"/>
    </row>
    <row r="334" spans="1:17" s="336" customFormat="1" ht="22.5">
      <c r="A334" s="240"/>
      <c r="B334" s="319">
        <f t="shared" si="52"/>
        <v>0</v>
      </c>
      <c r="C334" s="158"/>
      <c r="D334" s="398" t="s">
        <v>1097</v>
      </c>
      <c r="E334" s="362" t="s">
        <v>1098</v>
      </c>
      <c r="F334" s="350"/>
      <c r="G334" s="353"/>
      <c r="H334" s="18"/>
      <c r="I334" s="362" t="s">
        <v>82</v>
      </c>
      <c r="J334" s="361">
        <v>35.209675182410109</v>
      </c>
      <c r="K334" s="101"/>
      <c r="L334" s="356">
        <f t="shared" si="55"/>
        <v>0</v>
      </c>
      <c r="M334" s="453"/>
      <c r="N334" s="68"/>
      <c r="O334" s="362" t="s">
        <v>910</v>
      </c>
      <c r="P334" s="362" t="s">
        <v>495</v>
      </c>
      <c r="Q334" s="339"/>
    </row>
    <row r="335" spans="1:17" s="336" customFormat="1" ht="22.5">
      <c r="A335" s="240"/>
      <c r="B335" s="319">
        <f t="shared" si="52"/>
        <v>0</v>
      </c>
      <c r="C335" s="158"/>
      <c r="D335" s="398" t="s">
        <v>1099</v>
      </c>
      <c r="E335" s="362" t="s">
        <v>1100</v>
      </c>
      <c r="F335" s="350"/>
      <c r="G335" s="353"/>
      <c r="H335" s="18"/>
      <c r="I335" s="362" t="s">
        <v>82</v>
      </c>
      <c r="J335" s="361">
        <v>44.012093978012636</v>
      </c>
      <c r="K335" s="101"/>
      <c r="L335" s="356">
        <f t="shared" si="55"/>
        <v>0</v>
      </c>
      <c r="M335" s="453"/>
      <c r="N335" s="68"/>
      <c r="O335" s="362" t="s">
        <v>910</v>
      </c>
      <c r="P335" s="362" t="s">
        <v>495</v>
      </c>
      <c r="Q335" s="339"/>
    </row>
    <row r="336" spans="1:17" s="336" customFormat="1" ht="22.5">
      <c r="A336" s="240"/>
      <c r="B336" s="319">
        <f t="shared" si="52"/>
        <v>0</v>
      </c>
      <c r="C336" s="158"/>
      <c r="D336" s="398" t="s">
        <v>1101</v>
      </c>
      <c r="E336" s="362" t="s">
        <v>1102</v>
      </c>
      <c r="F336" s="350"/>
      <c r="G336" s="353"/>
      <c r="H336" s="18"/>
      <c r="I336" s="362" t="s">
        <v>82</v>
      </c>
      <c r="J336" s="361">
        <v>52.814512773615164</v>
      </c>
      <c r="K336" s="101"/>
      <c r="L336" s="356">
        <f t="shared" si="55"/>
        <v>0</v>
      </c>
      <c r="M336" s="453"/>
      <c r="N336" s="68"/>
      <c r="O336" s="362" t="s">
        <v>910</v>
      </c>
      <c r="P336" s="362" t="s">
        <v>495</v>
      </c>
      <c r="Q336" s="339"/>
    </row>
    <row r="337" spans="1:17" s="336" customFormat="1" ht="22.5">
      <c r="A337" s="240"/>
      <c r="B337" s="319">
        <f t="shared" si="52"/>
        <v>0</v>
      </c>
      <c r="C337" s="158"/>
      <c r="D337" s="398" t="s">
        <v>1103</v>
      </c>
      <c r="E337" s="362" t="s">
        <v>1104</v>
      </c>
      <c r="F337" s="350"/>
      <c r="G337" s="353"/>
      <c r="H337" s="18"/>
      <c r="I337" s="362" t="s">
        <v>82</v>
      </c>
      <c r="J337" s="361">
        <v>61.616931569217691</v>
      </c>
      <c r="K337" s="101"/>
      <c r="L337" s="356">
        <f t="shared" si="55"/>
        <v>0</v>
      </c>
      <c r="M337" s="453"/>
      <c r="N337" s="68"/>
      <c r="O337" s="362" t="s">
        <v>910</v>
      </c>
      <c r="P337" s="362" t="s">
        <v>495</v>
      </c>
      <c r="Q337" s="339"/>
    </row>
    <row r="338" spans="1:17" s="336" customFormat="1" ht="22.5">
      <c r="A338" s="240"/>
      <c r="B338" s="319">
        <f t="shared" si="52"/>
        <v>0</v>
      </c>
      <c r="C338" s="158"/>
      <c r="D338" s="398" t="s">
        <v>1105</v>
      </c>
      <c r="E338" s="362" t="s">
        <v>1106</v>
      </c>
      <c r="F338" s="350"/>
      <c r="G338" s="353"/>
      <c r="H338" s="18"/>
      <c r="I338" s="362" t="s">
        <v>82</v>
      </c>
      <c r="J338" s="361">
        <v>70.419350364820218</v>
      </c>
      <c r="K338" s="101"/>
      <c r="L338" s="356">
        <f t="shared" si="55"/>
        <v>0</v>
      </c>
      <c r="M338" s="453"/>
      <c r="N338" s="68"/>
      <c r="O338" s="362" t="s">
        <v>910</v>
      </c>
      <c r="P338" s="362" t="s">
        <v>495</v>
      </c>
      <c r="Q338" s="339"/>
    </row>
    <row r="339" spans="1:17" s="336" customFormat="1" ht="22.5">
      <c r="A339" s="240"/>
      <c r="B339" s="319">
        <f t="shared" si="52"/>
        <v>0</v>
      </c>
      <c r="C339" s="158"/>
      <c r="D339" s="398" t="s">
        <v>1107</v>
      </c>
      <c r="E339" s="362" t="s">
        <v>1108</v>
      </c>
      <c r="F339" s="350"/>
      <c r="G339" s="353"/>
      <c r="H339" s="18"/>
      <c r="I339" s="362" t="s">
        <v>82</v>
      </c>
      <c r="J339" s="361">
        <v>88.024187956025273</v>
      </c>
      <c r="K339" s="101"/>
      <c r="L339" s="356">
        <f t="shared" si="55"/>
        <v>0</v>
      </c>
      <c r="M339" s="453"/>
      <c r="N339" s="68"/>
      <c r="O339" s="362" t="s">
        <v>910</v>
      </c>
      <c r="P339" s="362" t="s">
        <v>495</v>
      </c>
      <c r="Q339" s="339"/>
    </row>
    <row r="340" spans="1:17" s="336" customFormat="1" ht="22.5">
      <c r="A340" s="240"/>
      <c r="B340" s="319">
        <f t="shared" si="52"/>
        <v>0</v>
      </c>
      <c r="C340" s="158"/>
      <c r="D340" s="398" t="s">
        <v>1109</v>
      </c>
      <c r="E340" s="362" t="s">
        <v>1110</v>
      </c>
      <c r="F340" s="350"/>
      <c r="G340" s="353"/>
      <c r="H340" s="18"/>
      <c r="I340" s="362" t="s">
        <v>82</v>
      </c>
      <c r="J340" s="361">
        <v>105.62902554723033</v>
      </c>
      <c r="K340" s="101"/>
      <c r="L340" s="356">
        <f t="shared" si="55"/>
        <v>0</v>
      </c>
      <c r="M340" s="453"/>
      <c r="N340" s="68"/>
      <c r="O340" s="362" t="s">
        <v>910</v>
      </c>
      <c r="P340" s="362" t="s">
        <v>495</v>
      </c>
      <c r="Q340" s="339"/>
    </row>
    <row r="341" spans="1:17" s="336" customFormat="1" ht="22.5">
      <c r="A341" s="240"/>
      <c r="B341" s="319">
        <f t="shared" si="52"/>
        <v>0</v>
      </c>
      <c r="C341" s="158"/>
      <c r="D341" s="398" t="s">
        <v>1111</v>
      </c>
      <c r="E341" s="362" t="s">
        <v>1112</v>
      </c>
      <c r="F341" s="350"/>
      <c r="G341" s="353"/>
      <c r="H341" s="18"/>
      <c r="I341" s="362" t="s">
        <v>82</v>
      </c>
      <c r="J341" s="361">
        <v>140.83870072964044</v>
      </c>
      <c r="K341" s="101"/>
      <c r="L341" s="356">
        <f t="shared" si="55"/>
        <v>0</v>
      </c>
      <c r="M341" s="453"/>
      <c r="N341" s="68"/>
      <c r="O341" s="362" t="s">
        <v>910</v>
      </c>
      <c r="P341" s="362" t="s">
        <v>495</v>
      </c>
      <c r="Q341" s="339"/>
    </row>
    <row r="342" spans="1:17" s="336" customFormat="1" ht="22.5">
      <c r="A342" s="240"/>
      <c r="B342" s="319">
        <f t="shared" si="52"/>
        <v>0</v>
      </c>
      <c r="C342" s="158"/>
      <c r="D342" s="398" t="s">
        <v>1113</v>
      </c>
      <c r="E342" s="362" t="s">
        <v>1114</v>
      </c>
      <c r="F342" s="350"/>
      <c r="G342" s="353"/>
      <c r="H342" s="18"/>
      <c r="I342" s="362" t="s">
        <v>82</v>
      </c>
      <c r="J342" s="361">
        <v>176.04837591205055</v>
      </c>
      <c r="K342" s="101"/>
      <c r="L342" s="356">
        <f t="shared" si="55"/>
        <v>0</v>
      </c>
      <c r="M342" s="453"/>
      <c r="N342" s="68"/>
      <c r="O342" s="362" t="s">
        <v>910</v>
      </c>
      <c r="P342" s="362" t="s">
        <v>495</v>
      </c>
      <c r="Q342" s="339"/>
    </row>
    <row r="343" spans="1:17" s="336" customFormat="1" ht="90">
      <c r="A343" s="240"/>
      <c r="B343" s="319">
        <f t="shared" si="52"/>
        <v>0</v>
      </c>
      <c r="C343" s="158"/>
      <c r="D343" s="398" t="s">
        <v>1115</v>
      </c>
      <c r="E343" s="362" t="s">
        <v>1116</v>
      </c>
      <c r="F343" s="350"/>
      <c r="G343" s="353"/>
      <c r="H343" s="18"/>
      <c r="I343" s="362" t="s">
        <v>1117</v>
      </c>
      <c r="J343" s="361">
        <v>6001.7290848012472</v>
      </c>
      <c r="K343" s="101"/>
      <c r="L343" s="356">
        <f t="shared" si="54"/>
        <v>0</v>
      </c>
      <c r="M343" s="453"/>
      <c r="N343" s="68"/>
      <c r="O343" s="362" t="s">
        <v>1118</v>
      </c>
      <c r="P343" s="362" t="s">
        <v>1119</v>
      </c>
      <c r="Q343" s="339"/>
    </row>
    <row r="344" spans="1:17" s="336" customFormat="1" ht="90">
      <c r="A344" s="240"/>
      <c r="B344" s="319">
        <f t="shared" si="52"/>
        <v>0</v>
      </c>
      <c r="C344" s="158"/>
      <c r="D344" s="398" t="s">
        <v>1120</v>
      </c>
      <c r="E344" s="362" t="s">
        <v>1121</v>
      </c>
      <c r="F344" s="350"/>
      <c r="G344" s="353"/>
      <c r="H344" s="18"/>
      <c r="I344" s="362" t="s">
        <v>1117</v>
      </c>
      <c r="J344" s="361">
        <v>12999.626720672512</v>
      </c>
      <c r="K344" s="101"/>
      <c r="L344" s="356">
        <f t="shared" si="54"/>
        <v>0</v>
      </c>
      <c r="M344" s="453"/>
      <c r="N344" s="68"/>
      <c r="O344" s="362" t="s">
        <v>1118</v>
      </c>
      <c r="P344" s="362" t="s">
        <v>1122</v>
      </c>
      <c r="Q344" s="339"/>
    </row>
    <row r="345" spans="1:17" s="336" customFormat="1" ht="90">
      <c r="A345" s="240"/>
      <c r="B345" s="319">
        <f t="shared" si="52"/>
        <v>0</v>
      </c>
      <c r="C345" s="158"/>
      <c r="D345" s="398" t="s">
        <v>1123</v>
      </c>
      <c r="E345" s="362" t="s">
        <v>1124</v>
      </c>
      <c r="F345" s="350"/>
      <c r="G345" s="353"/>
      <c r="H345" s="18"/>
      <c r="I345" s="362" t="s">
        <v>1117</v>
      </c>
      <c r="J345" s="361">
        <v>6001.7290848012472</v>
      </c>
      <c r="K345" s="101"/>
      <c r="L345" s="356">
        <f t="shared" si="54"/>
        <v>0</v>
      </c>
      <c r="M345" s="453"/>
      <c r="N345" s="68"/>
      <c r="O345" s="362" t="s">
        <v>1118</v>
      </c>
      <c r="P345" s="362" t="s">
        <v>1125</v>
      </c>
      <c r="Q345" s="339"/>
    </row>
    <row r="346" spans="1:17" s="336" customFormat="1" ht="90">
      <c r="A346" s="240"/>
      <c r="B346" s="319">
        <f t="shared" si="52"/>
        <v>0</v>
      </c>
      <c r="C346" s="158"/>
      <c r="D346" s="398" t="s">
        <v>1126</v>
      </c>
      <c r="E346" s="362" t="s">
        <v>1127</v>
      </c>
      <c r="F346" s="350"/>
      <c r="G346" s="353"/>
      <c r="H346" s="18"/>
      <c r="I346" s="362" t="s">
        <v>1117</v>
      </c>
      <c r="J346" s="361">
        <v>12999.626720672512</v>
      </c>
      <c r="K346" s="101"/>
      <c r="L346" s="356">
        <f t="shared" si="54"/>
        <v>0</v>
      </c>
      <c r="M346" s="453"/>
      <c r="N346" s="68"/>
      <c r="O346" s="362" t="s">
        <v>1118</v>
      </c>
      <c r="P346" s="362" t="s">
        <v>1128</v>
      </c>
      <c r="Q346" s="339"/>
    </row>
    <row r="347" spans="1:17" s="336" customFormat="1" ht="90">
      <c r="A347" s="240"/>
      <c r="B347" s="319">
        <f t="shared" ref="B347:B357" si="56">IF(L347&gt;0,1,0)</f>
        <v>0</v>
      </c>
      <c r="C347" s="158"/>
      <c r="D347" s="398" t="s">
        <v>1129</v>
      </c>
      <c r="E347" s="362" t="s">
        <v>1130</v>
      </c>
      <c r="F347" s="350"/>
      <c r="G347" s="353"/>
      <c r="H347" s="18"/>
      <c r="I347" s="362" t="s">
        <v>1117</v>
      </c>
      <c r="J347" s="361">
        <v>13059.774442247704</v>
      </c>
      <c r="K347" s="101"/>
      <c r="L347" s="356">
        <f t="shared" si="54"/>
        <v>0</v>
      </c>
      <c r="M347" s="453"/>
      <c r="N347" s="68"/>
      <c r="O347" s="362" t="s">
        <v>1118</v>
      </c>
      <c r="P347" s="362" t="s">
        <v>1131</v>
      </c>
      <c r="Q347" s="339"/>
    </row>
    <row r="348" spans="1:17" s="336" customFormat="1" ht="90">
      <c r="A348" s="240"/>
      <c r="B348" s="319">
        <f t="shared" si="56"/>
        <v>0</v>
      </c>
      <c r="C348" s="158"/>
      <c r="D348" s="398" t="s">
        <v>1132</v>
      </c>
      <c r="E348" s="362" t="s">
        <v>1133</v>
      </c>
      <c r="F348" s="350"/>
      <c r="G348" s="353"/>
      <c r="H348" s="18"/>
      <c r="I348" s="362" t="s">
        <v>1117</v>
      </c>
      <c r="J348" s="361">
        <v>30554.518531925867</v>
      </c>
      <c r="K348" s="101"/>
      <c r="L348" s="356">
        <f t="shared" si="54"/>
        <v>0</v>
      </c>
      <c r="M348" s="453"/>
      <c r="N348" s="68"/>
      <c r="O348" s="362" t="s">
        <v>1118</v>
      </c>
      <c r="P348" s="362" t="s">
        <v>1134</v>
      </c>
      <c r="Q348" s="339"/>
    </row>
    <row r="349" spans="1:17" s="336" customFormat="1" ht="56.25">
      <c r="A349" s="240"/>
      <c r="B349" s="319">
        <f t="shared" si="56"/>
        <v>0</v>
      </c>
      <c r="C349" s="158"/>
      <c r="D349" s="398" t="s">
        <v>1135</v>
      </c>
      <c r="E349" s="362" t="s">
        <v>275</v>
      </c>
      <c r="F349" s="350"/>
      <c r="G349" s="353"/>
      <c r="H349" s="18"/>
      <c r="I349" s="362" t="s">
        <v>678</v>
      </c>
      <c r="J349" s="361">
        <v>77891.077235430173</v>
      </c>
      <c r="K349" s="101"/>
      <c r="L349" s="356">
        <f t="shared" si="54"/>
        <v>0</v>
      </c>
      <c r="M349" s="453"/>
      <c r="N349" s="68"/>
      <c r="O349" s="362" t="s">
        <v>1136</v>
      </c>
      <c r="P349" s="362" t="s">
        <v>1137</v>
      </c>
      <c r="Q349" s="339"/>
    </row>
    <row r="350" spans="1:17" s="336" customFormat="1" ht="56.25">
      <c r="A350" s="240"/>
      <c r="B350" s="319">
        <f t="shared" si="56"/>
        <v>0</v>
      </c>
      <c r="C350" s="158"/>
      <c r="D350" s="398" t="s">
        <v>1138</v>
      </c>
      <c r="E350" s="362" t="s">
        <v>276</v>
      </c>
      <c r="F350" s="350"/>
      <c r="G350" s="353"/>
      <c r="H350" s="18"/>
      <c r="I350" s="362" t="s">
        <v>678</v>
      </c>
      <c r="J350" s="361">
        <v>132462.12783068666</v>
      </c>
      <c r="K350" s="101"/>
      <c r="L350" s="356">
        <f t="shared" si="54"/>
        <v>0</v>
      </c>
      <c r="M350" s="453"/>
      <c r="N350" s="68"/>
      <c r="O350" s="362" t="s">
        <v>1136</v>
      </c>
      <c r="P350" s="362" t="s">
        <v>1137</v>
      </c>
      <c r="Q350" s="339"/>
    </row>
    <row r="351" spans="1:17" s="336" customFormat="1" ht="56.25">
      <c r="A351" s="240"/>
      <c r="B351" s="319">
        <f t="shared" si="56"/>
        <v>0</v>
      </c>
      <c r="C351" s="158"/>
      <c r="D351" s="398" t="s">
        <v>1139</v>
      </c>
      <c r="E351" s="362" t="s">
        <v>277</v>
      </c>
      <c r="F351" s="350"/>
      <c r="G351" s="353"/>
      <c r="H351" s="18"/>
      <c r="I351" s="362" t="s">
        <v>678</v>
      </c>
      <c r="J351" s="361">
        <v>35686.303320098406</v>
      </c>
      <c r="K351" s="101"/>
      <c r="L351" s="356">
        <f t="shared" si="54"/>
        <v>0</v>
      </c>
      <c r="M351" s="453"/>
      <c r="N351" s="68"/>
      <c r="O351" s="362" t="s">
        <v>1136</v>
      </c>
      <c r="P351" s="362" t="s">
        <v>1137</v>
      </c>
      <c r="Q351" s="339"/>
    </row>
    <row r="352" spans="1:17" s="336" customFormat="1" ht="56.25">
      <c r="A352" s="240"/>
      <c r="B352" s="319">
        <f t="shared" si="56"/>
        <v>0</v>
      </c>
      <c r="C352" s="158"/>
      <c r="D352" s="398" t="s">
        <v>1140</v>
      </c>
      <c r="E352" s="362" t="s">
        <v>278</v>
      </c>
      <c r="F352" s="350"/>
      <c r="G352" s="353"/>
      <c r="H352" s="18"/>
      <c r="I352" s="362" t="s">
        <v>678</v>
      </c>
      <c r="J352" s="361">
        <v>29397.327015161263</v>
      </c>
      <c r="K352" s="101"/>
      <c r="L352" s="356">
        <f t="shared" si="54"/>
        <v>0</v>
      </c>
      <c r="M352" s="453"/>
      <c r="N352" s="68"/>
      <c r="O352" s="362" t="s">
        <v>1136</v>
      </c>
      <c r="P352" s="362" t="s">
        <v>1137</v>
      </c>
      <c r="Q352" s="339"/>
    </row>
    <row r="353" spans="1:17" s="336" customFormat="1" ht="56.25">
      <c r="A353" s="240"/>
      <c r="B353" s="319">
        <f t="shared" si="56"/>
        <v>0</v>
      </c>
      <c r="C353" s="158"/>
      <c r="D353" s="398" t="s">
        <v>1141</v>
      </c>
      <c r="E353" s="362" t="s">
        <v>279</v>
      </c>
      <c r="F353" s="350"/>
      <c r="G353" s="353"/>
      <c r="H353" s="18"/>
      <c r="I353" s="362" t="s">
        <v>678</v>
      </c>
      <c r="J353" s="361">
        <v>9580.1564649555021</v>
      </c>
      <c r="K353" s="101"/>
      <c r="L353" s="356">
        <f t="shared" si="54"/>
        <v>0</v>
      </c>
      <c r="M353" s="453"/>
      <c r="N353" s="68"/>
      <c r="O353" s="362" t="s">
        <v>1136</v>
      </c>
      <c r="P353" s="362" t="s">
        <v>1137</v>
      </c>
      <c r="Q353" s="339"/>
    </row>
    <row r="354" spans="1:17" s="336" customFormat="1" ht="56.25">
      <c r="A354" s="240"/>
      <c r="B354" s="319">
        <f t="shared" si="56"/>
        <v>0</v>
      </c>
      <c r="C354" s="158"/>
      <c r="D354" s="398" t="s">
        <v>1142</v>
      </c>
      <c r="E354" s="362" t="s">
        <v>1143</v>
      </c>
      <c r="F354" s="350"/>
      <c r="G354" s="353"/>
      <c r="H354" s="18"/>
      <c r="I354" s="362" t="s">
        <v>17</v>
      </c>
      <c r="J354" s="361">
        <v>2075.8594407227524</v>
      </c>
      <c r="K354" s="101"/>
      <c r="L354" s="356">
        <f t="shared" si="54"/>
        <v>0</v>
      </c>
      <c r="M354" s="453"/>
      <c r="N354" s="68"/>
      <c r="O354" s="362" t="s">
        <v>1144</v>
      </c>
      <c r="P354" s="362" t="s">
        <v>1137</v>
      </c>
      <c r="Q354" s="339"/>
    </row>
    <row r="355" spans="1:17" s="336" customFormat="1" ht="56.25">
      <c r="A355" s="240"/>
      <c r="B355" s="319">
        <f t="shared" si="56"/>
        <v>0</v>
      </c>
      <c r="C355" s="158"/>
      <c r="D355" s="398" t="s">
        <v>1145</v>
      </c>
      <c r="E355" s="362" t="s">
        <v>1146</v>
      </c>
      <c r="F355" s="350"/>
      <c r="G355" s="353"/>
      <c r="H355" s="18"/>
      <c r="I355" s="362" t="s">
        <v>17</v>
      </c>
      <c r="J355" s="361">
        <v>766.6193084399149</v>
      </c>
      <c r="K355" s="101"/>
      <c r="L355" s="356">
        <f t="shared" si="54"/>
        <v>0</v>
      </c>
      <c r="M355" s="453"/>
      <c r="N355" s="68"/>
      <c r="O355" s="362" t="s">
        <v>1144</v>
      </c>
      <c r="P355" s="362" t="s">
        <v>1137</v>
      </c>
      <c r="Q355" s="339"/>
    </row>
    <row r="356" spans="1:17" s="336" customFormat="1" ht="33.75">
      <c r="A356" s="240"/>
      <c r="B356" s="319">
        <f t="shared" si="56"/>
        <v>0</v>
      </c>
      <c r="C356" s="158"/>
      <c r="D356" s="398" t="s">
        <v>1147</v>
      </c>
      <c r="E356" s="70" t="s">
        <v>535</v>
      </c>
      <c r="F356" s="350"/>
      <c r="G356" s="353"/>
      <c r="H356" s="18"/>
      <c r="I356" s="62"/>
      <c r="J356" s="389"/>
      <c r="K356" s="105"/>
      <c r="L356" s="356">
        <f t="shared" si="54"/>
        <v>0</v>
      </c>
      <c r="M356" s="454"/>
      <c r="N356" s="68"/>
      <c r="O356" s="390"/>
      <c r="P356" s="456" t="s">
        <v>1148</v>
      </c>
      <c r="Q356" s="363"/>
    </row>
    <row r="357" spans="1:17" s="336" customFormat="1">
      <c r="A357" s="240"/>
      <c r="B357" s="319">
        <f t="shared" si="56"/>
        <v>0</v>
      </c>
      <c r="C357" s="159"/>
      <c r="D357" s="398" t="s">
        <v>1149</v>
      </c>
      <c r="E357" s="72" t="s">
        <v>535</v>
      </c>
      <c r="F357" s="359"/>
      <c r="G357" s="353"/>
      <c r="H357" s="63"/>
      <c r="I357" s="64"/>
      <c r="J357" s="406"/>
      <c r="K357" s="105"/>
      <c r="L357" s="356">
        <f t="shared" si="54"/>
        <v>0</v>
      </c>
      <c r="M357" s="455"/>
      <c r="N357" s="80"/>
      <c r="O357" s="390"/>
      <c r="P357" s="62"/>
      <c r="Q357" s="363"/>
    </row>
    <row r="358" spans="1:17" s="336" customFormat="1">
      <c r="A358" s="240"/>
      <c r="B358" s="319">
        <v>1</v>
      </c>
      <c r="C358" s="370"/>
      <c r="D358" s="371"/>
      <c r="E358" s="371"/>
      <c r="F358" s="371"/>
      <c r="G358" s="371"/>
      <c r="H358" s="372"/>
      <c r="I358" s="371"/>
      <c r="J358" s="373"/>
      <c r="K358" s="374" t="s">
        <v>198</v>
      </c>
      <c r="L358" s="375">
        <f>SUBTOTAL(9,L219:L357)</f>
        <v>0</v>
      </c>
      <c r="M358" s="392"/>
      <c r="N358" s="393"/>
      <c r="O358" s="394"/>
      <c r="P358" s="395"/>
      <c r="Q358" s="339"/>
    </row>
    <row r="359" spans="1:17" s="336" customFormat="1" ht="15">
      <c r="A359" s="240"/>
      <c r="B359" s="319">
        <v>1</v>
      </c>
      <c r="C359" s="340" t="s">
        <v>1150</v>
      </c>
      <c r="D359" s="341"/>
      <c r="E359" s="342"/>
      <c r="F359" s="342"/>
      <c r="G359" s="342"/>
      <c r="H359" s="380"/>
      <c r="I359" s="380"/>
      <c r="J359" s="381"/>
      <c r="K359" s="381"/>
      <c r="L359" s="383"/>
      <c r="M359" s="346"/>
      <c r="N359" s="347"/>
      <c r="O359" s="348"/>
      <c r="P359" s="349"/>
      <c r="Q359" s="339"/>
    </row>
    <row r="360" spans="1:17" s="336" customFormat="1">
      <c r="A360" s="240"/>
      <c r="B360" s="319">
        <f>IF(L360&gt;0,1,0)</f>
        <v>0</v>
      </c>
      <c r="C360" s="158"/>
      <c r="D360" s="384"/>
      <c r="E360" s="362" t="s">
        <v>1151</v>
      </c>
      <c r="F360" s="407">
        <f>'Process Facilities User Build'!Z6</f>
        <v>0</v>
      </c>
      <c r="G360" s="408">
        <f>IF('Process Facilities User Build'!Z6&gt;0,1,0)</f>
        <v>0</v>
      </c>
      <c r="H360" s="355"/>
      <c r="I360" s="409" t="s">
        <v>1152</v>
      </c>
      <c r="J360" s="366"/>
      <c r="K360" s="367"/>
      <c r="L360" s="356">
        <f>IF(K360="",F360,K360)*G360</f>
        <v>0</v>
      </c>
      <c r="M360" s="453"/>
      <c r="N360" s="68"/>
      <c r="O360" s="362"/>
      <c r="P360" s="362"/>
      <c r="Q360" s="339"/>
    </row>
    <row r="361" spans="1:17" s="336" customFormat="1">
      <c r="A361" s="240"/>
      <c r="B361" s="319">
        <f>IF(L361&gt;0,1,0)</f>
        <v>0</v>
      </c>
      <c r="C361" s="158"/>
      <c r="D361" s="384"/>
      <c r="E361" s="362" t="s">
        <v>1153</v>
      </c>
      <c r="F361" s="410"/>
      <c r="G361" s="411"/>
      <c r="H361" s="412"/>
      <c r="I361" s="354" t="s">
        <v>159</v>
      </c>
      <c r="J361" s="359"/>
      <c r="K361" s="412"/>
      <c r="L361" s="356">
        <f>'Process Facilities'!F3</f>
        <v>0</v>
      </c>
      <c r="M361" s="453"/>
      <c r="N361" s="68"/>
      <c r="O361" s="362" t="s">
        <v>1154</v>
      </c>
      <c r="P361" s="362" t="s">
        <v>495</v>
      </c>
      <c r="Q361" s="339"/>
    </row>
    <row r="362" spans="1:17" s="336" customFormat="1" ht="180">
      <c r="A362" s="240"/>
      <c r="B362" s="319">
        <f t="shared" ref="B362:B398" si="57">IF(L362&gt;0,1,0)</f>
        <v>0</v>
      </c>
      <c r="C362" s="158"/>
      <c r="D362" s="413" t="s">
        <v>1155</v>
      </c>
      <c r="E362" s="362" t="s">
        <v>1156</v>
      </c>
      <c r="F362" s="79"/>
      <c r="G362" s="362" t="s">
        <v>233</v>
      </c>
      <c r="H362" s="108"/>
      <c r="I362" s="362" t="s">
        <v>678</v>
      </c>
      <c r="J362" s="414"/>
      <c r="K362" s="415">
        <f>IF(F362=0,0,IF(AND(F362&lt;&gt;"",F362&lt;=Assumptions!F199),"E",IF(AND(F362&lt;=Assumptions!$G$199,F362&gt;Assumptions!$F$199),F362*Assumptions!$D$199+Assumptions!$E$199,IF(AND(F362&lt;=Assumptions!G200,F362&gt;Assumptions!F200),F362*Assumptions!D200+Assumptions!E200,IF(AND(F362&lt;=Assumptions!G201,F362&gt;Assumptions!F201),F362*Assumptions!D201+Assumptions!E201,IF(AND(F362&lt;=Assumptions!G202,F362&gt;Assumptions!F202),F362*Assumptions!D202+Assumptions!E202,IF(AND(F362&lt;=Assumptions!G203,F362&gt;Assumptions!F203),F362*Assumptions!D203+Assumptions!E203,IF(AND(F362&lt;=Assumptions!G204,F362&gt;Assumptions!F204),F362*Assumptions!D204+Assumptions!E204,IF(AND(F362&lt;=Assumptions!G205,F362&gt;Assumptions!F205),F362*Assumptions!D205+Assumptions!E205,IF(AND(F362&lt;=Assumptions!G206,F362&gt;Assumptions!F206),F362*Assumptions!D206+Assumptions!E206,IF(AND(F362&lt;=Assumptions!G207,F362&gt;Assumptions!F207),F362*Assumptions!D207+Assumptions!E207,"E")))))))))))</f>
        <v>0</v>
      </c>
      <c r="L362" s="356">
        <f>K362*H362</f>
        <v>0</v>
      </c>
      <c r="M362" s="453"/>
      <c r="N362" s="68"/>
      <c r="O362" s="362" t="s">
        <v>1157</v>
      </c>
      <c r="P362" s="362" t="s">
        <v>1158</v>
      </c>
      <c r="Q362" s="339"/>
    </row>
    <row r="363" spans="1:17" s="336" customFormat="1" ht="33.75">
      <c r="A363" s="240"/>
      <c r="B363" s="319">
        <f t="shared" si="57"/>
        <v>0</v>
      </c>
      <c r="C363" s="158"/>
      <c r="D363" s="413" t="s">
        <v>1159</v>
      </c>
      <c r="E363" s="362" t="str">
        <f>Lists!C354</f>
        <v>Stand-alone gas compressor</v>
      </c>
      <c r="F363" s="350"/>
      <c r="G363" s="353"/>
      <c r="H363" s="154"/>
      <c r="I363" s="409" t="s">
        <v>678</v>
      </c>
      <c r="J363" s="361">
        <v>6127.769066710518</v>
      </c>
      <c r="K363" s="101"/>
      <c r="L363" s="356">
        <f t="shared" ref="L363:L373" si="58">IF(K363="",J363,K363)*H363</f>
        <v>0</v>
      </c>
      <c r="M363" s="453"/>
      <c r="N363" s="68"/>
      <c r="O363" s="362" t="s">
        <v>1136</v>
      </c>
      <c r="P363" s="362" t="s">
        <v>1160</v>
      </c>
      <c r="Q363" s="339"/>
    </row>
    <row r="364" spans="1:17" s="336" customFormat="1" ht="159.6" customHeight="1">
      <c r="A364" s="240"/>
      <c r="B364" s="319">
        <f t="shared" si="57"/>
        <v>0</v>
      </c>
      <c r="C364" s="158"/>
      <c r="D364" s="413" t="s">
        <v>1161</v>
      </c>
      <c r="E364" s="362" t="str">
        <f>Lists!C355</f>
        <v>Gas Processing Plant &gt; 0 and &lt;= 15 TJ/day</v>
      </c>
      <c r="F364" s="350"/>
      <c r="G364" s="353"/>
      <c r="H364" s="161"/>
      <c r="I364" s="409" t="s">
        <v>678</v>
      </c>
      <c r="J364" s="361">
        <v>193905.29837053586</v>
      </c>
      <c r="K364" s="101"/>
      <c r="L364" s="356">
        <f t="shared" si="58"/>
        <v>0</v>
      </c>
      <c r="M364" s="453"/>
      <c r="N364" s="68"/>
      <c r="O364" s="362" t="s">
        <v>1136</v>
      </c>
      <c r="P364" s="362" t="s">
        <v>1162</v>
      </c>
      <c r="Q364" s="339"/>
    </row>
    <row r="365" spans="1:17" s="336" customFormat="1">
      <c r="A365" s="240"/>
      <c r="B365" s="319">
        <f t="shared" si="57"/>
        <v>0</v>
      </c>
      <c r="C365" s="158"/>
      <c r="D365" s="413" t="s">
        <v>1163</v>
      </c>
      <c r="E365" s="362" t="str">
        <f>Lists!C356</f>
        <v>Gas Processing Plant &gt; 15 and &lt;= 25 TJ/day</v>
      </c>
      <c r="F365" s="350"/>
      <c r="G365" s="353"/>
      <c r="H365" s="154"/>
      <c r="I365" s="409" t="s">
        <v>678</v>
      </c>
      <c r="J365" s="361">
        <v>327301.71593703952</v>
      </c>
      <c r="K365" s="101"/>
      <c r="L365" s="356">
        <f t="shared" si="58"/>
        <v>0</v>
      </c>
      <c r="M365" s="453"/>
      <c r="N365" s="68"/>
      <c r="O365" s="362" t="s">
        <v>1136</v>
      </c>
      <c r="P365" s="362" t="s">
        <v>495</v>
      </c>
      <c r="Q365" s="339"/>
    </row>
    <row r="366" spans="1:17" s="336" customFormat="1">
      <c r="A366" s="240"/>
      <c r="B366" s="319">
        <f t="shared" si="57"/>
        <v>0</v>
      </c>
      <c r="C366" s="158"/>
      <c r="D366" s="413" t="s">
        <v>1164</v>
      </c>
      <c r="E366" s="362" t="str">
        <f>Lists!C357</f>
        <v>Gas Processing Plant &gt; 25 and &lt;= 50 TJ/day</v>
      </c>
      <c r="F366" s="350"/>
      <c r="G366" s="353"/>
      <c r="H366" s="162"/>
      <c r="I366" s="409" t="s">
        <v>678</v>
      </c>
      <c r="J366" s="361">
        <v>494896.84950548207</v>
      </c>
      <c r="K366" s="101"/>
      <c r="L366" s="356">
        <f t="shared" si="58"/>
        <v>0</v>
      </c>
      <c r="M366" s="453"/>
      <c r="N366" s="68"/>
      <c r="O366" s="362" t="s">
        <v>1136</v>
      </c>
      <c r="P366" s="362" t="s">
        <v>495</v>
      </c>
      <c r="Q366" s="339"/>
    </row>
    <row r="367" spans="1:17" s="336" customFormat="1">
      <c r="A367" s="240"/>
      <c r="B367" s="319">
        <f t="shared" si="57"/>
        <v>0</v>
      </c>
      <c r="C367" s="158"/>
      <c r="D367" s="413" t="s">
        <v>1165</v>
      </c>
      <c r="E367" s="362" t="str">
        <f>Lists!C358</f>
        <v>Gas Processing Plant &gt; 50 and &lt;= 100 TJ/day</v>
      </c>
      <c r="F367" s="350"/>
      <c r="G367" s="353"/>
      <c r="H367" s="154"/>
      <c r="I367" s="409" t="s">
        <v>678</v>
      </c>
      <c r="J367" s="361">
        <v>813521.09484374349</v>
      </c>
      <c r="K367" s="101"/>
      <c r="L367" s="356">
        <f t="shared" si="58"/>
        <v>0</v>
      </c>
      <c r="M367" s="453"/>
      <c r="N367" s="68"/>
      <c r="O367" s="362" t="s">
        <v>1136</v>
      </c>
      <c r="P367" s="362" t="s">
        <v>495</v>
      </c>
      <c r="Q367" s="339"/>
    </row>
    <row r="368" spans="1:17" s="336" customFormat="1">
      <c r="A368" s="240"/>
      <c r="B368" s="319">
        <f t="shared" si="57"/>
        <v>0</v>
      </c>
      <c r="C368" s="158"/>
      <c r="D368" s="413" t="s">
        <v>1166</v>
      </c>
      <c r="E368" s="362" t="str">
        <f>Lists!C359</f>
        <v>Gas Processing Plant &gt; 100 and &lt;= 200 TJ/day</v>
      </c>
      <c r="F368" s="350"/>
      <c r="G368" s="353"/>
      <c r="H368" s="154"/>
      <c r="I368" s="409" t="s">
        <v>678</v>
      </c>
      <c r="J368" s="361">
        <v>1274613.4483622068</v>
      </c>
      <c r="K368" s="101"/>
      <c r="L368" s="356">
        <f t="shared" si="58"/>
        <v>0</v>
      </c>
      <c r="M368" s="453"/>
      <c r="N368" s="68"/>
      <c r="O368" s="362" t="s">
        <v>1136</v>
      </c>
      <c r="P368" s="362" t="s">
        <v>495</v>
      </c>
      <c r="Q368" s="339"/>
    </row>
    <row r="369" spans="1:17" s="336" customFormat="1">
      <c r="A369" s="240"/>
      <c r="B369" s="319">
        <f t="shared" si="57"/>
        <v>0</v>
      </c>
      <c r="C369" s="158"/>
      <c r="D369" s="413" t="s">
        <v>1167</v>
      </c>
      <c r="E369" s="362" t="str">
        <f>Lists!C360</f>
        <v>Gas Processing Plant &gt; 200 and &lt;= 300 TJ/day</v>
      </c>
      <c r="F369" s="350"/>
      <c r="G369" s="353"/>
      <c r="H369" s="154"/>
      <c r="I369" s="409" t="s">
        <v>678</v>
      </c>
      <c r="J369" s="361">
        <v>1753068.2883514685</v>
      </c>
      <c r="K369" s="101"/>
      <c r="L369" s="356">
        <f t="shared" si="58"/>
        <v>0</v>
      </c>
      <c r="M369" s="453"/>
      <c r="N369" s="68"/>
      <c r="O369" s="362" t="s">
        <v>1136</v>
      </c>
      <c r="P369" s="362" t="s">
        <v>495</v>
      </c>
      <c r="Q369" s="339"/>
    </row>
    <row r="370" spans="1:17" s="336" customFormat="1">
      <c r="A370" s="240"/>
      <c r="B370" s="319">
        <f t="shared" si="57"/>
        <v>0</v>
      </c>
      <c r="C370" s="158"/>
      <c r="D370" s="413" t="s">
        <v>1168</v>
      </c>
      <c r="E370" s="362" t="str">
        <f>Lists!C361</f>
        <v>Gas Processing Plant &gt; 300 and &lt;= 400 TJ/day</v>
      </c>
      <c r="F370" s="350"/>
      <c r="G370" s="353"/>
      <c r="H370" s="154"/>
      <c r="I370" s="409" t="s">
        <v>678</v>
      </c>
      <c r="J370" s="361">
        <v>2105280.0601336956</v>
      </c>
      <c r="K370" s="101"/>
      <c r="L370" s="356">
        <f t="shared" si="58"/>
        <v>0</v>
      </c>
      <c r="M370" s="453"/>
      <c r="N370" s="68"/>
      <c r="O370" s="362" t="s">
        <v>1136</v>
      </c>
      <c r="P370" s="362" t="s">
        <v>495</v>
      </c>
      <c r="Q370" s="339"/>
    </row>
    <row r="371" spans="1:17" s="336" customFormat="1">
      <c r="A371" s="240"/>
      <c r="B371" s="319">
        <f t="shared" si="57"/>
        <v>0</v>
      </c>
      <c r="C371" s="158"/>
      <c r="D371" s="413" t="s">
        <v>1169</v>
      </c>
      <c r="E371" s="362" t="str">
        <f>Lists!C362</f>
        <v>Gas Processing Plant &gt; 400 and &lt;= 500 TJ/day</v>
      </c>
      <c r="F371" s="350"/>
      <c r="G371" s="353"/>
      <c r="H371" s="154"/>
      <c r="I371" s="409" t="s">
        <v>678</v>
      </c>
      <c r="J371" s="361">
        <v>2426802.6532318834</v>
      </c>
      <c r="K371" s="101"/>
      <c r="L371" s="356">
        <f t="shared" si="58"/>
        <v>0</v>
      </c>
      <c r="M371" s="453"/>
      <c r="N371" s="68"/>
      <c r="O371" s="362" t="s">
        <v>1136</v>
      </c>
      <c r="P371" s="362" t="s">
        <v>495</v>
      </c>
      <c r="Q371" s="339"/>
    </row>
    <row r="372" spans="1:17" s="336" customFormat="1">
      <c r="A372" s="240"/>
      <c r="B372" s="319">
        <f t="shared" si="57"/>
        <v>0</v>
      </c>
      <c r="C372" s="158"/>
      <c r="D372" s="413" t="s">
        <v>1170</v>
      </c>
      <c r="E372" s="362" t="str">
        <f>Lists!C363</f>
        <v>Gas Processing Plant &gt; 500 and &lt;= 750 TJ/day</v>
      </c>
      <c r="F372" s="350"/>
      <c r="G372" s="353"/>
      <c r="H372" s="154"/>
      <c r="I372" s="409" t="s">
        <v>678</v>
      </c>
      <c r="J372" s="361">
        <v>2758530.5589742903</v>
      </c>
      <c r="K372" s="101"/>
      <c r="L372" s="356">
        <f t="shared" si="58"/>
        <v>0</v>
      </c>
      <c r="M372" s="453"/>
      <c r="N372" s="68"/>
      <c r="O372" s="362" t="s">
        <v>1136</v>
      </c>
      <c r="P372" s="362" t="s">
        <v>495</v>
      </c>
      <c r="Q372" s="339"/>
    </row>
    <row r="373" spans="1:17" s="336" customFormat="1">
      <c r="A373" s="240"/>
      <c r="B373" s="319">
        <f t="shared" si="57"/>
        <v>0</v>
      </c>
      <c r="C373" s="158"/>
      <c r="D373" s="413" t="s">
        <v>1171</v>
      </c>
      <c r="E373" s="362" t="str">
        <f>Lists!C364</f>
        <v>Gas Processing Plant &gt; 750 and &lt;= 1000 TJ/day</v>
      </c>
      <c r="F373" s="350"/>
      <c r="G373" s="353"/>
      <c r="H373" s="154"/>
      <c r="I373" s="409" t="s">
        <v>678</v>
      </c>
      <c r="J373" s="361">
        <v>3163292.7805972989</v>
      </c>
      <c r="K373" s="101"/>
      <c r="L373" s="356">
        <f t="shared" si="58"/>
        <v>0</v>
      </c>
      <c r="M373" s="453"/>
      <c r="N373" s="68"/>
      <c r="O373" s="362" t="s">
        <v>1136</v>
      </c>
      <c r="P373" s="362" t="s">
        <v>495</v>
      </c>
      <c r="Q373" s="339"/>
    </row>
    <row r="374" spans="1:17" s="336" customFormat="1">
      <c r="A374" s="240"/>
      <c r="B374" s="319">
        <f t="shared" si="57"/>
        <v>0</v>
      </c>
      <c r="C374" s="158"/>
      <c r="D374" s="413" t="s">
        <v>1172</v>
      </c>
      <c r="E374" s="362" t="s">
        <v>1173</v>
      </c>
      <c r="F374" s="407">
        <f>'Process Facilities User Build'!AB6</f>
        <v>0</v>
      </c>
      <c r="G374" s="408">
        <f>IF('Process Facilities User Build'!AB6&gt;0,1,0)</f>
        <v>0</v>
      </c>
      <c r="H374" s="355"/>
      <c r="I374" s="409" t="s">
        <v>1152</v>
      </c>
      <c r="J374" s="355"/>
      <c r="K374" s="101"/>
      <c r="L374" s="356">
        <f>IF(K374="",F374,K374)*G374</f>
        <v>0</v>
      </c>
      <c r="M374" s="453"/>
      <c r="N374" s="68"/>
      <c r="O374" s="362" t="s">
        <v>1154</v>
      </c>
      <c r="P374" s="362" t="s">
        <v>495</v>
      </c>
      <c r="Q374" s="339"/>
    </row>
    <row r="375" spans="1:17" s="336" customFormat="1" ht="45">
      <c r="A375" s="240"/>
      <c r="B375" s="319">
        <f t="shared" si="57"/>
        <v>0</v>
      </c>
      <c r="C375" s="158"/>
      <c r="D375" s="384"/>
      <c r="E375" s="362" t="s">
        <v>1174</v>
      </c>
      <c r="F375" s="79"/>
      <c r="G375" s="362" t="s">
        <v>233</v>
      </c>
      <c r="H375" s="63"/>
      <c r="I375" s="362" t="s">
        <v>678</v>
      </c>
      <c r="J375" s="390"/>
      <c r="K375" s="415">
        <f>IF(F375=0,0,IF(AND(F375&lt;&gt;"",F375&lt;=Assumptions!J199),"E",IF(AND(F375&lt;=Assumptions!K199,F375&gt;Assumptions!J199),F375*Assumptions!H199+Assumptions!I199,IF(AND(F375&lt;=Assumptions!K200,F375&gt;Assumptions!J200),F375*Assumptions!H200+Assumptions!I200,IF(AND(F375&lt;=Assumptions!K201,F375&gt;Assumptions!J201),F375*Assumptions!H201+Assumptions!I201,IF(AND(F375&lt;=Assumptions!K202,F375&gt;Assumptions!J202),F375*Assumptions!H202+Assumptions!I202,IF(AND(F375&lt;=Assumptions!K203,F375&gt;Assumptions!J203),F375*Assumptions!H203+Assumptions!I203,IF(AND(F375&lt;=Assumptions!K204,F375&gt;Assumptions!J204),F375*Assumptions!H204+Assumptions!I204,"E"))))))))</f>
        <v>0</v>
      </c>
      <c r="L375" s="356">
        <f>K375*H375</f>
        <v>0</v>
      </c>
      <c r="M375" s="453"/>
      <c r="N375" s="68"/>
      <c r="O375" s="362" t="s">
        <v>1175</v>
      </c>
      <c r="P375" s="362" t="s">
        <v>1176</v>
      </c>
      <c r="Q375" s="339"/>
    </row>
    <row r="376" spans="1:17" s="336" customFormat="1">
      <c r="A376" s="240"/>
      <c r="B376" s="319">
        <f t="shared" si="57"/>
        <v>0</v>
      </c>
      <c r="C376" s="158"/>
      <c r="D376" s="384"/>
      <c r="E376" s="362" t="s">
        <v>1177</v>
      </c>
      <c r="F376" s="350"/>
      <c r="G376" s="350"/>
      <c r="H376" s="397"/>
      <c r="I376" s="354" t="s">
        <v>159</v>
      </c>
      <c r="J376" s="414"/>
      <c r="K376" s="355"/>
      <c r="L376" s="356">
        <f>'Process Facilities'!G3</f>
        <v>0</v>
      </c>
      <c r="M376" s="453"/>
      <c r="N376" s="68"/>
      <c r="O376" s="362" t="s">
        <v>1154</v>
      </c>
      <c r="P376" s="362" t="s">
        <v>495</v>
      </c>
      <c r="Q376" s="339"/>
    </row>
    <row r="377" spans="1:17" s="336" customFormat="1" ht="180">
      <c r="A377" s="240"/>
      <c r="B377" s="319">
        <f t="shared" si="57"/>
        <v>0</v>
      </c>
      <c r="C377" s="158"/>
      <c r="D377" s="413" t="s">
        <v>1178</v>
      </c>
      <c r="E377" s="362" t="str">
        <f>Lists!C365</f>
        <v>Conventional Gas &gt; 0 and &lt;= 1 TJ/day</v>
      </c>
      <c r="F377" s="350"/>
      <c r="G377" s="353"/>
      <c r="H377" s="154"/>
      <c r="I377" s="409" t="s">
        <v>678</v>
      </c>
      <c r="J377" s="361">
        <v>39824.917235258559</v>
      </c>
      <c r="K377" s="101"/>
      <c r="L377" s="356">
        <f t="shared" ref="L377:L383" si="59">IF(K377="",J377,K377)*H377</f>
        <v>0</v>
      </c>
      <c r="M377" s="453"/>
      <c r="N377" s="68"/>
      <c r="O377" s="362" t="s">
        <v>1136</v>
      </c>
      <c r="P377" s="362" t="s">
        <v>1179</v>
      </c>
      <c r="Q377" s="339"/>
    </row>
    <row r="378" spans="1:17" s="336" customFormat="1">
      <c r="A378" s="240"/>
      <c r="B378" s="319">
        <f t="shared" si="57"/>
        <v>0</v>
      </c>
      <c r="C378" s="158"/>
      <c r="D378" s="413" t="s">
        <v>1180</v>
      </c>
      <c r="E378" s="362" t="str">
        <f>Lists!C366</f>
        <v>Conventional Gas &gt; 1 and &lt;= 2 TJ/day</v>
      </c>
      <c r="F378" s="350"/>
      <c r="G378" s="353"/>
      <c r="H378" s="154"/>
      <c r="I378" s="409" t="s">
        <v>678</v>
      </c>
      <c r="J378" s="361">
        <v>78892.225785745759</v>
      </c>
      <c r="K378" s="101"/>
      <c r="L378" s="356">
        <f t="shared" si="59"/>
        <v>0</v>
      </c>
      <c r="M378" s="453"/>
      <c r="N378" s="68"/>
      <c r="O378" s="362" t="s">
        <v>1136</v>
      </c>
      <c r="P378" s="362" t="s">
        <v>495</v>
      </c>
      <c r="Q378" s="339"/>
    </row>
    <row r="379" spans="1:17" s="336" customFormat="1">
      <c r="A379" s="240"/>
      <c r="B379" s="319">
        <f t="shared" si="57"/>
        <v>0</v>
      </c>
      <c r="C379" s="158"/>
      <c r="D379" s="413" t="s">
        <v>1181</v>
      </c>
      <c r="E379" s="362" t="str">
        <f>Lists!C367</f>
        <v>Conventional Gas &gt; 2 and &lt;= 5 TJ/day</v>
      </c>
      <c r="F379" s="350"/>
      <c r="G379" s="353"/>
      <c r="H379" s="154"/>
      <c r="I379" s="409" t="s">
        <v>678</v>
      </c>
      <c r="J379" s="361">
        <v>110574.65430500446</v>
      </c>
      <c r="K379" s="101"/>
      <c r="L379" s="356">
        <f t="shared" si="59"/>
        <v>0</v>
      </c>
      <c r="M379" s="453"/>
      <c r="N379" s="68"/>
      <c r="O379" s="362" t="s">
        <v>1136</v>
      </c>
      <c r="P379" s="362" t="s">
        <v>495</v>
      </c>
      <c r="Q379" s="339"/>
    </row>
    <row r="380" spans="1:17" s="336" customFormat="1">
      <c r="A380" s="240"/>
      <c r="B380" s="319">
        <f t="shared" si="57"/>
        <v>0</v>
      </c>
      <c r="C380" s="158"/>
      <c r="D380" s="413" t="s">
        <v>1182</v>
      </c>
      <c r="E380" s="362" t="str">
        <f>Lists!C368</f>
        <v>Conventional Gas &gt; 5 and &lt;= 10 TJ/day</v>
      </c>
      <c r="F380" s="350"/>
      <c r="G380" s="353"/>
      <c r="H380" s="154"/>
      <c r="I380" s="409" t="s">
        <v>678</v>
      </c>
      <c r="J380" s="361">
        <v>132339.88634692761</v>
      </c>
      <c r="K380" s="101"/>
      <c r="L380" s="356">
        <f t="shared" si="59"/>
        <v>0</v>
      </c>
      <c r="M380" s="453"/>
      <c r="N380" s="68"/>
      <c r="O380" s="362" t="s">
        <v>1136</v>
      </c>
      <c r="P380" s="362" t="s">
        <v>495</v>
      </c>
      <c r="Q380" s="339"/>
    </row>
    <row r="381" spans="1:17" s="336" customFormat="1">
      <c r="A381" s="240"/>
      <c r="B381" s="319">
        <f t="shared" si="57"/>
        <v>0</v>
      </c>
      <c r="C381" s="158"/>
      <c r="D381" s="413" t="s">
        <v>1183</v>
      </c>
      <c r="E381" s="362" t="str">
        <f>Lists!C369</f>
        <v>Conventional Gas &gt; 10 and &lt;= 15 TJ/day</v>
      </c>
      <c r="F381" s="350"/>
      <c r="G381" s="353"/>
      <c r="H381" s="154"/>
      <c r="I381" s="409" t="s">
        <v>678</v>
      </c>
      <c r="J381" s="361">
        <v>222410.35108146071</v>
      </c>
      <c r="K381" s="101"/>
      <c r="L381" s="356">
        <f t="shared" si="59"/>
        <v>0</v>
      </c>
      <c r="M381" s="453"/>
      <c r="N381" s="68"/>
      <c r="O381" s="362" t="s">
        <v>1136</v>
      </c>
      <c r="P381" s="362" t="s">
        <v>495</v>
      </c>
      <c r="Q381" s="339"/>
    </row>
    <row r="382" spans="1:17" s="336" customFormat="1">
      <c r="A382" s="240"/>
      <c r="B382" s="319">
        <f t="shared" si="57"/>
        <v>0</v>
      </c>
      <c r="C382" s="158"/>
      <c r="D382" s="413" t="s">
        <v>1184</v>
      </c>
      <c r="E382" s="362" t="str">
        <f>Lists!C370</f>
        <v>Conventional Gas &gt; 15 and &lt;= 25 TJ/day</v>
      </c>
      <c r="F382" s="350"/>
      <c r="G382" s="353"/>
      <c r="H382" s="154"/>
      <c r="I382" s="409" t="s">
        <v>678</v>
      </c>
      <c r="J382" s="361">
        <v>321929.2558443789</v>
      </c>
      <c r="K382" s="101"/>
      <c r="L382" s="356">
        <f t="shared" si="59"/>
        <v>0</v>
      </c>
      <c r="M382" s="453"/>
      <c r="N382" s="68"/>
      <c r="O382" s="362" t="s">
        <v>1136</v>
      </c>
      <c r="P382" s="362" t="s">
        <v>495</v>
      </c>
      <c r="Q382" s="339"/>
    </row>
    <row r="383" spans="1:17" s="336" customFormat="1">
      <c r="A383" s="240"/>
      <c r="B383" s="319">
        <f t="shared" si="57"/>
        <v>0</v>
      </c>
      <c r="C383" s="158"/>
      <c r="D383" s="413" t="s">
        <v>1185</v>
      </c>
      <c r="E383" s="362" t="str">
        <f>Lists!C371</f>
        <v>Conventional Gas &gt; 25 and &lt;= 50 TJ/day</v>
      </c>
      <c r="F383" s="350"/>
      <c r="G383" s="353"/>
      <c r="H383" s="154"/>
      <c r="I383" s="409" t="s">
        <v>678</v>
      </c>
      <c r="J383" s="361">
        <v>507908.25696768868</v>
      </c>
      <c r="K383" s="101"/>
      <c r="L383" s="356">
        <f t="shared" si="59"/>
        <v>0</v>
      </c>
      <c r="M383" s="453"/>
      <c r="N383" s="68"/>
      <c r="O383" s="362" t="s">
        <v>1136</v>
      </c>
      <c r="P383" s="362" t="s">
        <v>495</v>
      </c>
      <c r="Q383" s="339"/>
    </row>
    <row r="384" spans="1:17" s="336" customFormat="1" ht="180">
      <c r="A384" s="240"/>
      <c r="B384" s="319">
        <f t="shared" si="57"/>
        <v>0</v>
      </c>
      <c r="C384" s="158"/>
      <c r="D384" s="384"/>
      <c r="E384" s="362" t="s">
        <v>1186</v>
      </c>
      <c r="F384" s="407">
        <f>'Process Facilities User Build'!AC6</f>
        <v>0</v>
      </c>
      <c r="G384" s="408">
        <f>IF('Process Facilities User Build'!AC6&gt;0,1,0)</f>
        <v>0</v>
      </c>
      <c r="H384" s="355"/>
      <c r="I384" s="409" t="s">
        <v>1152</v>
      </c>
      <c r="J384" s="355"/>
      <c r="K384" s="101"/>
      <c r="L384" s="356">
        <f>IF(K384="",F384,K384)*G384</f>
        <v>0</v>
      </c>
      <c r="M384" s="453"/>
      <c r="N384" s="68"/>
      <c r="O384" s="362" t="s">
        <v>1187</v>
      </c>
      <c r="P384" s="362" t="s">
        <v>1188</v>
      </c>
      <c r="Q384" s="339"/>
    </row>
    <row r="385" spans="1:17" s="336" customFormat="1">
      <c r="A385" s="240"/>
      <c r="B385" s="319">
        <f t="shared" si="57"/>
        <v>0</v>
      </c>
      <c r="C385" s="158"/>
      <c r="D385" s="384"/>
      <c r="E385" s="362" t="s">
        <v>1189</v>
      </c>
      <c r="F385" s="350"/>
      <c r="G385" s="350"/>
      <c r="H385" s="412"/>
      <c r="I385" s="354" t="s">
        <v>159</v>
      </c>
      <c r="J385" s="410"/>
      <c r="K385" s="397"/>
      <c r="L385" s="356">
        <f>'Process Facilities'!H3</f>
        <v>0</v>
      </c>
      <c r="M385" s="453"/>
      <c r="N385" s="68"/>
      <c r="O385" s="362" t="s">
        <v>1154</v>
      </c>
      <c r="P385" s="362" t="s">
        <v>1176</v>
      </c>
      <c r="Q385" s="339"/>
    </row>
    <row r="386" spans="1:17" s="336" customFormat="1" ht="168.75">
      <c r="A386" s="240"/>
      <c r="B386" s="319">
        <f t="shared" si="57"/>
        <v>0</v>
      </c>
      <c r="C386" s="158"/>
      <c r="D386" s="413" t="s">
        <v>1190</v>
      </c>
      <c r="E386" s="362" t="str">
        <f>Lists!C372</f>
        <v>Conventional Oil &gt; 0 and &lt;= 50 kL</v>
      </c>
      <c r="F386" s="350"/>
      <c r="G386" s="353"/>
      <c r="H386" s="154"/>
      <c r="I386" s="409" t="s">
        <v>678</v>
      </c>
      <c r="J386" s="361">
        <v>64065.171236536495</v>
      </c>
      <c r="K386" s="101"/>
      <c r="L386" s="356">
        <f t="shared" ref="L386:L392" si="60">IF(K386="",J386,K386)*H386</f>
        <v>0</v>
      </c>
      <c r="M386" s="453"/>
      <c r="N386" s="68"/>
      <c r="O386" s="362" t="s">
        <v>1136</v>
      </c>
      <c r="P386" s="362" t="s">
        <v>1191</v>
      </c>
      <c r="Q386" s="339"/>
    </row>
    <row r="387" spans="1:17" s="336" customFormat="1">
      <c r="A387" s="240"/>
      <c r="B387" s="319">
        <f t="shared" si="57"/>
        <v>0</v>
      </c>
      <c r="C387" s="158"/>
      <c r="D387" s="413" t="s">
        <v>1192</v>
      </c>
      <c r="E387" s="362" t="str">
        <f>Lists!C373</f>
        <v>Conventional Oil &gt; 50 and &lt;= 200 kL</v>
      </c>
      <c r="F387" s="350"/>
      <c r="G387" s="353"/>
      <c r="H387" s="108"/>
      <c r="I387" s="409" t="s">
        <v>678</v>
      </c>
      <c r="J387" s="361">
        <v>130520.61035769111</v>
      </c>
      <c r="K387" s="101"/>
      <c r="L387" s="356">
        <f t="shared" si="60"/>
        <v>0</v>
      </c>
      <c r="M387" s="453"/>
      <c r="N387" s="68"/>
      <c r="O387" s="362" t="s">
        <v>1136</v>
      </c>
      <c r="P387" s="362" t="s">
        <v>495</v>
      </c>
      <c r="Q387" s="339"/>
    </row>
    <row r="388" spans="1:17" s="336" customFormat="1">
      <c r="A388" s="240"/>
      <c r="B388" s="319">
        <f t="shared" si="57"/>
        <v>0</v>
      </c>
      <c r="C388" s="158"/>
      <c r="D388" s="413" t="s">
        <v>1193</v>
      </c>
      <c r="E388" s="362" t="str">
        <f>Lists!C374</f>
        <v>Conventional Oil &gt; 200 and &lt;= 1000 kL</v>
      </c>
      <c r="F388" s="350"/>
      <c r="G388" s="353"/>
      <c r="H388" s="108"/>
      <c r="I388" s="409" t="s">
        <v>678</v>
      </c>
      <c r="J388" s="361">
        <v>237834.16851969736</v>
      </c>
      <c r="K388" s="101"/>
      <c r="L388" s="356">
        <f t="shared" si="60"/>
        <v>0</v>
      </c>
      <c r="M388" s="453"/>
      <c r="N388" s="68"/>
      <c r="O388" s="362" t="s">
        <v>1136</v>
      </c>
      <c r="P388" s="362" t="s">
        <v>495</v>
      </c>
      <c r="Q388" s="339"/>
    </row>
    <row r="389" spans="1:17" s="336" customFormat="1">
      <c r="A389" s="240"/>
      <c r="B389" s="319">
        <f t="shared" si="57"/>
        <v>0</v>
      </c>
      <c r="C389" s="158"/>
      <c r="D389" s="413" t="s">
        <v>1194</v>
      </c>
      <c r="E389" s="362" t="str">
        <f>Lists!C375</f>
        <v>Conventional Oil &gt; 1000 and &lt;= 5000 kL</v>
      </c>
      <c r="F389" s="350"/>
      <c r="G389" s="353"/>
      <c r="H389" s="108"/>
      <c r="I389" s="409" t="s">
        <v>678</v>
      </c>
      <c r="J389" s="361">
        <v>372818.83009543625</v>
      </c>
      <c r="K389" s="101"/>
      <c r="L389" s="356">
        <f t="shared" si="60"/>
        <v>0</v>
      </c>
      <c r="M389" s="453"/>
      <c r="N389" s="68"/>
      <c r="O389" s="362" t="s">
        <v>1136</v>
      </c>
      <c r="P389" s="362" t="s">
        <v>495</v>
      </c>
      <c r="Q389" s="339"/>
    </row>
    <row r="390" spans="1:17" s="336" customFormat="1">
      <c r="A390" s="240"/>
      <c r="B390" s="319">
        <f t="shared" si="57"/>
        <v>0</v>
      </c>
      <c r="C390" s="158"/>
      <c r="D390" s="413" t="s">
        <v>1195</v>
      </c>
      <c r="E390" s="362" t="str">
        <f>Lists!C376</f>
        <v>Conventional Oil &gt; 5000 and &lt;= 10000 kL</v>
      </c>
      <c r="F390" s="350"/>
      <c r="G390" s="353"/>
      <c r="H390" s="108"/>
      <c r="I390" s="409" t="s">
        <v>678</v>
      </c>
      <c r="J390" s="361">
        <v>588997.81481934711</v>
      </c>
      <c r="K390" s="101"/>
      <c r="L390" s="356">
        <f t="shared" si="60"/>
        <v>0</v>
      </c>
      <c r="M390" s="453"/>
      <c r="N390" s="68"/>
      <c r="O390" s="362" t="s">
        <v>1136</v>
      </c>
      <c r="P390" s="362" t="s">
        <v>495</v>
      </c>
      <c r="Q390" s="339"/>
    </row>
    <row r="391" spans="1:17" s="336" customFormat="1">
      <c r="A391" s="240"/>
      <c r="B391" s="319">
        <f t="shared" si="57"/>
        <v>0</v>
      </c>
      <c r="C391" s="158"/>
      <c r="D391" s="413" t="s">
        <v>1196</v>
      </c>
      <c r="E391" s="362" t="str">
        <f>Lists!C377</f>
        <v>Conventional Oil &gt; 10000 and &lt;= 25000 kL</v>
      </c>
      <c r="F391" s="350"/>
      <c r="G391" s="353"/>
      <c r="H391" s="108"/>
      <c r="I391" s="409" t="s">
        <v>678</v>
      </c>
      <c r="J391" s="361">
        <v>686844.15806447389</v>
      </c>
      <c r="K391" s="101"/>
      <c r="L391" s="356">
        <f t="shared" si="60"/>
        <v>0</v>
      </c>
      <c r="M391" s="453"/>
      <c r="N391" s="68"/>
      <c r="O391" s="362" t="s">
        <v>1136</v>
      </c>
      <c r="P391" s="362" t="s">
        <v>495</v>
      </c>
      <c r="Q391" s="339"/>
    </row>
    <row r="392" spans="1:17" s="336" customFormat="1">
      <c r="A392" s="240"/>
      <c r="B392" s="319">
        <f t="shared" si="57"/>
        <v>0</v>
      </c>
      <c r="C392" s="158"/>
      <c r="D392" s="413" t="s">
        <v>1197</v>
      </c>
      <c r="E392" s="362" t="str">
        <f>Lists!C378</f>
        <v>Conventional Oil &gt; 25000 and &lt;= 50000 kL</v>
      </c>
      <c r="F392" s="350"/>
      <c r="G392" s="353"/>
      <c r="H392" s="108"/>
      <c r="I392" s="409" t="s">
        <v>678</v>
      </c>
      <c r="J392" s="361">
        <v>923529.52378437959</v>
      </c>
      <c r="K392" s="101"/>
      <c r="L392" s="356">
        <f t="shared" si="60"/>
        <v>0</v>
      </c>
      <c r="M392" s="453"/>
      <c r="N392" s="68"/>
      <c r="O392" s="362" t="s">
        <v>1136</v>
      </c>
      <c r="P392" s="362" t="s">
        <v>495</v>
      </c>
      <c r="Q392" s="339"/>
    </row>
    <row r="393" spans="1:17" s="336" customFormat="1">
      <c r="A393" s="240"/>
      <c r="B393" s="319">
        <f t="shared" si="57"/>
        <v>0</v>
      </c>
      <c r="C393" s="158"/>
      <c r="D393" s="413" t="s">
        <v>1198</v>
      </c>
      <c r="E393" s="362" t="s">
        <v>1199</v>
      </c>
      <c r="F393" s="407">
        <f>'Process Facilities User Build'!AA6</f>
        <v>0</v>
      </c>
      <c r="G393" s="408">
        <f>IF('Process Facilities User Build'!AA6&gt;0,1,0)</f>
        <v>0</v>
      </c>
      <c r="H393" s="355"/>
      <c r="I393" s="409" t="s">
        <v>1152</v>
      </c>
      <c r="J393" s="366"/>
      <c r="K393" s="367"/>
      <c r="L393" s="356">
        <f>IF(K393="",F393,K393)*G393</f>
        <v>0</v>
      </c>
      <c r="M393" s="453"/>
      <c r="N393" s="68"/>
      <c r="O393" s="362" t="s">
        <v>1154</v>
      </c>
      <c r="P393" s="362" t="s">
        <v>495</v>
      </c>
      <c r="Q393" s="339"/>
    </row>
    <row r="394" spans="1:17" s="336" customFormat="1">
      <c r="A394" s="240"/>
      <c r="B394" s="319">
        <f t="shared" si="57"/>
        <v>0</v>
      </c>
      <c r="C394" s="158"/>
      <c r="D394" s="384"/>
      <c r="E394" s="362" t="s">
        <v>1200</v>
      </c>
      <c r="F394" s="350"/>
      <c r="G394" s="352"/>
      <c r="H394" s="412"/>
      <c r="I394" s="354" t="s">
        <v>159</v>
      </c>
      <c r="J394" s="410"/>
      <c r="K394" s="412"/>
      <c r="L394" s="356">
        <f>'Process Facilities'!I3</f>
        <v>0</v>
      </c>
      <c r="M394" s="453"/>
      <c r="N394" s="68"/>
      <c r="O394" s="362" t="s">
        <v>1154</v>
      </c>
      <c r="P394" s="362" t="s">
        <v>1176</v>
      </c>
      <c r="Q394" s="339"/>
    </row>
    <row r="395" spans="1:17" s="336" customFormat="1" ht="180">
      <c r="A395" s="240"/>
      <c r="B395" s="319">
        <f t="shared" si="57"/>
        <v>0</v>
      </c>
      <c r="C395" s="2"/>
      <c r="D395" s="413" t="s">
        <v>1201</v>
      </c>
      <c r="E395" s="362" t="str">
        <f>Lists!C379</f>
        <v>LPG Plant &lt;= 500 kL</v>
      </c>
      <c r="F395" s="350"/>
      <c r="G395" s="353"/>
      <c r="H395" s="19"/>
      <c r="I395" s="387" t="s">
        <v>678</v>
      </c>
      <c r="J395" s="361">
        <v>721124.69819988299</v>
      </c>
      <c r="K395" s="101"/>
      <c r="L395" s="356">
        <f t="shared" ref="L395" si="61">IF(K395="",J395,K395)*H395</f>
        <v>0</v>
      </c>
      <c r="M395" s="453"/>
      <c r="N395" s="69"/>
      <c r="O395" s="362" t="s">
        <v>1136</v>
      </c>
      <c r="P395" s="362" t="s">
        <v>1188</v>
      </c>
      <c r="Q395" s="339"/>
    </row>
    <row r="396" spans="1:17" s="336" customFormat="1">
      <c r="A396" s="240"/>
      <c r="B396" s="319">
        <f t="shared" si="57"/>
        <v>0</v>
      </c>
      <c r="C396" s="2"/>
      <c r="D396" s="413" t="s">
        <v>1202</v>
      </c>
      <c r="E396" s="362" t="str">
        <f>Lists!C380</f>
        <v>LPG Plant &gt; 500 kL</v>
      </c>
      <c r="F396" s="350"/>
      <c r="G396" s="353"/>
      <c r="H396" s="19"/>
      <c r="I396" s="387" t="s">
        <v>678</v>
      </c>
      <c r="J396" s="361">
        <v>1236821.2735662479</v>
      </c>
      <c r="K396" s="101"/>
      <c r="L396" s="356">
        <f>IF(K396="",J396,K396)*H396</f>
        <v>0</v>
      </c>
      <c r="M396" s="453"/>
      <c r="N396" s="69"/>
      <c r="O396" s="362" t="s">
        <v>1136</v>
      </c>
      <c r="P396" s="362" t="s">
        <v>495</v>
      </c>
      <c r="Q396" s="339"/>
    </row>
    <row r="397" spans="1:17" s="336" customFormat="1">
      <c r="A397" s="240"/>
      <c r="B397" s="319">
        <f t="shared" si="57"/>
        <v>0</v>
      </c>
      <c r="C397" s="2"/>
      <c r="D397" s="413" t="s">
        <v>1203</v>
      </c>
      <c r="E397" s="70" t="s">
        <v>535</v>
      </c>
      <c r="F397" s="350"/>
      <c r="G397" s="353"/>
      <c r="H397" s="19"/>
      <c r="I397" s="77"/>
      <c r="J397" s="389"/>
      <c r="K397" s="102"/>
      <c r="L397" s="356">
        <f>H397*K397</f>
        <v>0</v>
      </c>
      <c r="M397" s="453"/>
      <c r="N397" s="69"/>
      <c r="O397" s="390"/>
      <c r="P397" s="84"/>
    </row>
    <row r="398" spans="1:17" s="336" customFormat="1">
      <c r="A398" s="240"/>
      <c r="B398" s="319">
        <f t="shared" si="57"/>
        <v>0</v>
      </c>
      <c r="C398" s="73"/>
      <c r="D398" s="413" t="s">
        <v>1204</v>
      </c>
      <c r="E398" s="70" t="s">
        <v>535</v>
      </c>
      <c r="F398" s="350"/>
      <c r="G398" s="353"/>
      <c r="H398" s="63"/>
      <c r="I398" s="81"/>
      <c r="J398" s="391"/>
      <c r="K398" s="104"/>
      <c r="L398" s="356">
        <f>H398*K398</f>
        <v>0</v>
      </c>
      <c r="M398" s="453"/>
      <c r="N398" s="85"/>
      <c r="O398" s="390"/>
      <c r="P398" s="70"/>
    </row>
    <row r="399" spans="1:17" s="336" customFormat="1">
      <c r="A399" s="240"/>
      <c r="B399" s="319">
        <v>1</v>
      </c>
      <c r="C399" s="370"/>
      <c r="D399" s="371"/>
      <c r="E399" s="371"/>
      <c r="F399" s="371"/>
      <c r="G399" s="371"/>
      <c r="H399" s="372"/>
      <c r="I399" s="371"/>
      <c r="J399" s="373"/>
      <c r="K399" s="374" t="s">
        <v>198</v>
      </c>
      <c r="L399" s="375">
        <f>SUBTOTAL(9,L360:L398)</f>
        <v>0</v>
      </c>
      <c r="M399" s="392"/>
      <c r="N399" s="393"/>
      <c r="O399" s="394"/>
      <c r="P399" s="395"/>
    </row>
    <row r="400" spans="1:17" s="336" customFormat="1" ht="15">
      <c r="A400" s="240"/>
      <c r="B400" s="319">
        <v>1</v>
      </c>
      <c r="C400" s="340" t="s">
        <v>1205</v>
      </c>
      <c r="D400" s="340"/>
      <c r="E400" s="342"/>
      <c r="F400" s="342"/>
      <c r="G400" s="342"/>
      <c r="H400" s="380"/>
      <c r="I400" s="342"/>
      <c r="J400" s="381"/>
      <c r="K400" s="382"/>
      <c r="L400" s="383"/>
      <c r="M400" s="346"/>
      <c r="N400" s="347"/>
      <c r="O400" s="348"/>
      <c r="P400" s="349"/>
    </row>
    <row r="401" spans="1:17" s="336" customFormat="1" ht="135">
      <c r="A401" s="240"/>
      <c r="B401" s="319">
        <f t="shared" ref="B401:B434" si="62">IF(L401&gt;0,1,0)</f>
        <v>0</v>
      </c>
      <c r="C401" s="2"/>
      <c r="D401" s="398" t="s">
        <v>1206</v>
      </c>
      <c r="E401" s="362" t="str">
        <f>Lists!C381</f>
        <v>LNG Plant 1 train</v>
      </c>
      <c r="F401" s="366"/>
      <c r="G401" s="367"/>
      <c r="H401" s="19"/>
      <c r="I401" s="387" t="s">
        <v>1207</v>
      </c>
      <c r="J401" s="361">
        <v>16609107.199831022</v>
      </c>
      <c r="K401" s="106"/>
      <c r="L401" s="356">
        <f t="shared" ref="L401:L403" si="63">IF(K401="",J401*H401,K401*H401)</f>
        <v>0</v>
      </c>
      <c r="M401" s="453"/>
      <c r="N401" s="68"/>
      <c r="O401" s="405" t="s">
        <v>1136</v>
      </c>
      <c r="P401" s="405" t="s">
        <v>1208</v>
      </c>
      <c r="Q401" s="339"/>
    </row>
    <row r="402" spans="1:17" s="336" customFormat="1" ht="135">
      <c r="A402" s="240"/>
      <c r="B402" s="319">
        <f t="shared" si="62"/>
        <v>0</v>
      </c>
      <c r="C402" s="2"/>
      <c r="D402" s="398" t="s">
        <v>1209</v>
      </c>
      <c r="E402" s="362" t="str">
        <f>Lists!C382</f>
        <v>LNG Plant 2 train</v>
      </c>
      <c r="F402" s="359"/>
      <c r="G402" s="353"/>
      <c r="H402" s="18"/>
      <c r="I402" s="387" t="s">
        <v>1207</v>
      </c>
      <c r="J402" s="361">
        <v>19996644.313368138</v>
      </c>
      <c r="K402" s="105"/>
      <c r="L402" s="356">
        <f t="shared" si="63"/>
        <v>0</v>
      </c>
      <c r="M402" s="453"/>
      <c r="N402" s="68"/>
      <c r="O402" s="405" t="s">
        <v>1136</v>
      </c>
      <c r="P402" s="405" t="s">
        <v>1208</v>
      </c>
      <c r="Q402" s="339"/>
    </row>
    <row r="403" spans="1:17" s="336" customFormat="1" ht="135">
      <c r="A403" s="240"/>
      <c r="B403" s="319">
        <f t="shared" si="62"/>
        <v>0</v>
      </c>
      <c r="C403" s="2"/>
      <c r="D403" s="398" t="s">
        <v>1210</v>
      </c>
      <c r="E403" s="362" t="str">
        <f>Lists!C383</f>
        <v>LNG Plant 3 train</v>
      </c>
      <c r="F403" s="359"/>
      <c r="G403" s="353"/>
      <c r="H403" s="18"/>
      <c r="I403" s="387" t="s">
        <v>1207</v>
      </c>
      <c r="J403" s="361">
        <v>23455269.725021474</v>
      </c>
      <c r="K403" s="105"/>
      <c r="L403" s="356">
        <f t="shared" si="63"/>
        <v>0</v>
      </c>
      <c r="M403" s="453"/>
      <c r="N403" s="68"/>
      <c r="O403" s="405" t="s">
        <v>1136</v>
      </c>
      <c r="P403" s="405" t="s">
        <v>1208</v>
      </c>
      <c r="Q403" s="339"/>
    </row>
    <row r="404" spans="1:17" s="336" customFormat="1" ht="90">
      <c r="A404" s="240"/>
      <c r="B404" s="319">
        <f t="shared" si="62"/>
        <v>0</v>
      </c>
      <c r="C404" s="2"/>
      <c r="D404" s="398" t="s">
        <v>1211</v>
      </c>
      <c r="E404" s="362" t="s">
        <v>1212</v>
      </c>
      <c r="F404" s="359"/>
      <c r="G404" s="350"/>
      <c r="H404" s="397"/>
      <c r="I404" s="409" t="s">
        <v>1152</v>
      </c>
      <c r="J404" s="366"/>
      <c r="K404" s="397"/>
      <c r="L404" s="356">
        <f>'LNG Facilities User Build'!E3</f>
        <v>0</v>
      </c>
      <c r="M404" s="453"/>
      <c r="N404" s="68"/>
      <c r="O404" s="405" t="s">
        <v>1136</v>
      </c>
      <c r="P404" s="405" t="s">
        <v>1213</v>
      </c>
      <c r="Q404" s="339"/>
    </row>
    <row r="405" spans="1:17" s="336" customFormat="1">
      <c r="A405" s="240"/>
      <c r="B405" s="319">
        <f t="shared" si="62"/>
        <v>0</v>
      </c>
      <c r="C405" s="2"/>
      <c r="D405" s="398" t="s">
        <v>1214</v>
      </c>
      <c r="E405" s="62" t="s">
        <v>535</v>
      </c>
      <c r="F405" s="359"/>
      <c r="G405" s="353"/>
      <c r="H405" s="2"/>
      <c r="I405" s="77"/>
      <c r="J405" s="406"/>
      <c r="K405" s="105"/>
      <c r="L405" s="356">
        <f>H405*K405</f>
        <v>0</v>
      </c>
      <c r="M405" s="453"/>
      <c r="N405" s="68"/>
      <c r="O405" s="390"/>
      <c r="P405" s="62" t="s">
        <v>1215</v>
      </c>
      <c r="Q405" s="363"/>
    </row>
    <row r="406" spans="1:17" s="336" customFormat="1">
      <c r="A406" s="240"/>
      <c r="B406" s="319">
        <f t="shared" si="62"/>
        <v>0</v>
      </c>
      <c r="C406" s="2"/>
      <c r="D406" s="398" t="s">
        <v>1216</v>
      </c>
      <c r="E406" s="62" t="s">
        <v>535</v>
      </c>
      <c r="F406" s="359"/>
      <c r="G406" s="353"/>
      <c r="H406" s="2"/>
      <c r="I406" s="77"/>
      <c r="J406" s="406"/>
      <c r="K406" s="105"/>
      <c r="L406" s="356">
        <f t="shared" ref="L406:L408" si="64">H406*K406</f>
        <v>0</v>
      </c>
      <c r="M406" s="453"/>
      <c r="N406" s="68"/>
      <c r="O406" s="390"/>
      <c r="P406" s="62" t="s">
        <v>1215</v>
      </c>
      <c r="Q406" s="363"/>
    </row>
    <row r="407" spans="1:17" s="336" customFormat="1">
      <c r="A407" s="240"/>
      <c r="B407" s="319">
        <f t="shared" si="62"/>
        <v>0</v>
      </c>
      <c r="C407" s="2"/>
      <c r="D407" s="398" t="s">
        <v>1217</v>
      </c>
      <c r="E407" s="62" t="s">
        <v>535</v>
      </c>
      <c r="F407" s="359"/>
      <c r="G407" s="353"/>
      <c r="H407" s="2"/>
      <c r="I407" s="77"/>
      <c r="J407" s="406"/>
      <c r="K407" s="105"/>
      <c r="L407" s="356">
        <f t="shared" si="64"/>
        <v>0</v>
      </c>
      <c r="M407" s="453"/>
      <c r="N407" s="68"/>
      <c r="O407" s="390"/>
      <c r="P407" s="62" t="s">
        <v>1215</v>
      </c>
      <c r="Q407" s="363"/>
    </row>
    <row r="408" spans="1:17" s="336" customFormat="1">
      <c r="A408" s="240"/>
      <c r="B408" s="319">
        <f t="shared" si="62"/>
        <v>0</v>
      </c>
      <c r="C408" s="73"/>
      <c r="D408" s="398" t="s">
        <v>1217</v>
      </c>
      <c r="E408" s="62" t="s">
        <v>535</v>
      </c>
      <c r="F408" s="410"/>
      <c r="G408" s="412"/>
      <c r="H408" s="73"/>
      <c r="I408" s="78"/>
      <c r="J408" s="391"/>
      <c r="K408" s="105"/>
      <c r="L408" s="356">
        <f t="shared" si="64"/>
        <v>0</v>
      </c>
      <c r="M408" s="453"/>
      <c r="N408" s="68"/>
      <c r="O408" s="390"/>
      <c r="P408" s="62" t="s">
        <v>1215</v>
      </c>
      <c r="Q408" s="363"/>
    </row>
    <row r="409" spans="1:17" s="336" customFormat="1">
      <c r="A409" s="240"/>
      <c r="B409" s="319">
        <v>1</v>
      </c>
      <c r="C409" s="370"/>
      <c r="D409" s="371"/>
      <c r="E409" s="371"/>
      <c r="F409" s="371"/>
      <c r="G409" s="371"/>
      <c r="H409" s="371"/>
      <c r="I409" s="371"/>
      <c r="J409" s="373"/>
      <c r="K409" s="374" t="s">
        <v>198</v>
      </c>
      <c r="L409" s="375">
        <f>SUBTOTAL(9,L401:L408)</f>
        <v>0</v>
      </c>
      <c r="M409" s="392"/>
      <c r="N409" s="393"/>
      <c r="O409" s="394"/>
      <c r="P409" s="395"/>
      <c r="Q409" s="339"/>
    </row>
    <row r="410" spans="1:17" s="336" customFormat="1" ht="15">
      <c r="A410" s="240"/>
      <c r="B410" s="319">
        <v>1</v>
      </c>
      <c r="C410" s="340" t="s">
        <v>1218</v>
      </c>
      <c r="D410" s="341"/>
      <c r="E410" s="342"/>
      <c r="F410" s="342"/>
      <c r="G410" s="342"/>
      <c r="H410" s="380"/>
      <c r="I410" s="342"/>
      <c r="J410" s="381"/>
      <c r="K410" s="382"/>
      <c r="L410" s="383"/>
      <c r="M410" s="346"/>
      <c r="N410" s="347"/>
      <c r="O410" s="348"/>
      <c r="P410" s="349"/>
      <c r="Q410" s="339"/>
    </row>
    <row r="411" spans="1:17" s="336" customFormat="1" ht="168.75">
      <c r="A411" s="240"/>
      <c r="B411" s="319">
        <f t="shared" si="62"/>
        <v>0</v>
      </c>
      <c r="C411" s="158"/>
      <c r="D411" s="384"/>
      <c r="E411" s="362" t="s">
        <v>1219</v>
      </c>
      <c r="F411" s="82"/>
      <c r="G411" s="362" t="s">
        <v>212</v>
      </c>
      <c r="H411" s="108"/>
      <c r="I411" s="362" t="s">
        <v>678</v>
      </c>
      <c r="J411" s="361"/>
      <c r="K411" s="415">
        <f>IF(F411=0,0,IF(AND(F411&lt;&gt;"",F411&lt;=Assumptions!N199),"E",IF(AND(F411&lt;=Assumptions!O199,F411&gt;Assumptions!N199),F411*Assumptions!L199+Assumptions!M199,IF(AND(F411&lt;=Assumptions!O200,F411&gt;Assumptions!N200),F411*Assumptions!L200+Assumptions!M200,IF(AND(F411&lt;=Assumptions!O201,F411&gt;Assumptions!N201),F411*Assumptions!L201+Assumptions!M201,IF(AND(F411&lt;=Assumptions!O202,F411&gt;Assumptions!N202),F411*Assumptions!L202+Assumptions!M202,IF(AND(F411&lt;=Assumptions!O203,F411&gt;Assumptions!N203),F411*Assumptions!L203+Assumptions!M203,"E")))))))</f>
        <v>0</v>
      </c>
      <c r="L411" s="356">
        <f>K411*H411</f>
        <v>0</v>
      </c>
      <c r="M411" s="453"/>
      <c r="N411" s="68"/>
      <c r="O411" s="362" t="s">
        <v>1220</v>
      </c>
      <c r="P411" s="362" t="s">
        <v>1221</v>
      </c>
      <c r="Q411" s="339"/>
    </row>
    <row r="412" spans="1:17" s="336" customFormat="1">
      <c r="A412" s="240"/>
      <c r="B412" s="319">
        <f t="shared" si="62"/>
        <v>0</v>
      </c>
      <c r="C412" s="158"/>
      <c r="D412" s="384"/>
      <c r="E412" s="362" t="s">
        <v>1222</v>
      </c>
      <c r="F412" s="350"/>
      <c r="G412" s="352"/>
      <c r="H412" s="397"/>
      <c r="I412" s="354" t="s">
        <v>159</v>
      </c>
      <c r="J412" s="416"/>
      <c r="K412" s="397"/>
      <c r="L412" s="356">
        <f>'Process Facilities'!K3</f>
        <v>0</v>
      </c>
      <c r="M412" s="453"/>
      <c r="N412" s="68"/>
      <c r="O412" s="362" t="s">
        <v>1154</v>
      </c>
      <c r="P412" s="362" t="s">
        <v>1176</v>
      </c>
      <c r="Q412" s="339"/>
    </row>
    <row r="413" spans="1:17" s="336" customFormat="1" ht="168.75">
      <c r="A413" s="240"/>
      <c r="B413" s="319">
        <f t="shared" si="62"/>
        <v>0</v>
      </c>
      <c r="C413" s="158"/>
      <c r="D413" s="413" t="s">
        <v>1223</v>
      </c>
      <c r="E413" s="362" t="str">
        <f>Lists!C384</f>
        <v>Water Treatment Plant 1 ML/day</v>
      </c>
      <c r="F413" s="350"/>
      <c r="G413" s="353"/>
      <c r="H413" s="18"/>
      <c r="I413" s="362" t="s">
        <v>678</v>
      </c>
      <c r="J413" s="361">
        <v>101957.75973725348</v>
      </c>
      <c r="K413" s="101"/>
      <c r="L413" s="356">
        <f t="shared" ref="L413" si="65">IF(K413="",J413,K413)*H413</f>
        <v>0</v>
      </c>
      <c r="M413" s="453"/>
      <c r="N413" s="68"/>
      <c r="O413" s="362" t="s">
        <v>1224</v>
      </c>
      <c r="P413" s="362" t="s">
        <v>1221</v>
      </c>
      <c r="Q413" s="339"/>
    </row>
    <row r="414" spans="1:17" s="336" customFormat="1" ht="22.5">
      <c r="A414" s="240"/>
      <c r="B414" s="319">
        <f t="shared" si="62"/>
        <v>0</v>
      </c>
      <c r="C414" s="158"/>
      <c r="D414" s="413" t="s">
        <v>1225</v>
      </c>
      <c r="E414" s="362" t="str">
        <f>Lists!C385</f>
        <v>Water Treatment Plant 2 ML/day</v>
      </c>
      <c r="F414" s="350"/>
      <c r="G414" s="353"/>
      <c r="H414" s="18"/>
      <c r="I414" s="362" t="s">
        <v>678</v>
      </c>
      <c r="J414" s="361">
        <v>176765.0825319319</v>
      </c>
      <c r="K414" s="105"/>
      <c r="L414" s="356">
        <f t="shared" ref="L414:L430" si="66">IF(K414="",J414,K414)*H414</f>
        <v>0</v>
      </c>
      <c r="M414" s="453"/>
      <c r="N414" s="68"/>
      <c r="O414" s="362" t="s">
        <v>1136</v>
      </c>
      <c r="P414" s="362" t="s">
        <v>881</v>
      </c>
      <c r="Q414" s="339"/>
    </row>
    <row r="415" spans="1:17" s="336" customFormat="1" ht="22.5">
      <c r="A415" s="240"/>
      <c r="B415" s="319">
        <f t="shared" si="62"/>
        <v>0</v>
      </c>
      <c r="C415" s="158"/>
      <c r="D415" s="413" t="s">
        <v>1226</v>
      </c>
      <c r="E415" s="362" t="str">
        <f>Lists!C386</f>
        <v>Water Treatment Plant 6 ML/day</v>
      </c>
      <c r="F415" s="350"/>
      <c r="G415" s="353"/>
      <c r="H415" s="18"/>
      <c r="I415" s="362" t="s">
        <v>678</v>
      </c>
      <c r="J415" s="361">
        <v>341287.09604047704</v>
      </c>
      <c r="K415" s="105"/>
      <c r="L415" s="356">
        <f t="shared" si="66"/>
        <v>0</v>
      </c>
      <c r="M415" s="453"/>
      <c r="N415" s="68"/>
      <c r="O415" s="362" t="s">
        <v>1136</v>
      </c>
      <c r="P415" s="362" t="s">
        <v>881</v>
      </c>
      <c r="Q415" s="339"/>
    </row>
    <row r="416" spans="1:17" s="336" customFormat="1" ht="22.5">
      <c r="A416" s="240"/>
      <c r="B416" s="319">
        <f t="shared" si="62"/>
        <v>0</v>
      </c>
      <c r="C416" s="158"/>
      <c r="D416" s="413" t="s">
        <v>1227</v>
      </c>
      <c r="E416" s="362" t="str">
        <f>Lists!C387</f>
        <v>Water Treatment Plant 12 ML/day</v>
      </c>
      <c r="F416" s="350"/>
      <c r="G416" s="353"/>
      <c r="H416" s="18"/>
      <c r="I416" s="362" t="s">
        <v>678</v>
      </c>
      <c r="J416" s="361">
        <v>415136.97883074486</v>
      </c>
      <c r="K416" s="105"/>
      <c r="L416" s="356">
        <f t="shared" si="66"/>
        <v>0</v>
      </c>
      <c r="M416" s="453"/>
      <c r="N416" s="68"/>
      <c r="O416" s="362" t="s">
        <v>1136</v>
      </c>
      <c r="P416" s="362" t="s">
        <v>881</v>
      </c>
      <c r="Q416" s="339"/>
    </row>
    <row r="417" spans="1:17" s="336" customFormat="1" ht="22.5">
      <c r="A417" s="240"/>
      <c r="B417" s="319">
        <f t="shared" si="62"/>
        <v>0</v>
      </c>
      <c r="C417" s="158"/>
      <c r="D417" s="413" t="s">
        <v>1228</v>
      </c>
      <c r="E417" s="362" t="str">
        <f>Lists!C388</f>
        <v>Water Treatment Plant 20 ML/day</v>
      </c>
      <c r="F417" s="350"/>
      <c r="G417" s="353"/>
      <c r="H417" s="18"/>
      <c r="I417" s="362" t="s">
        <v>678</v>
      </c>
      <c r="J417" s="361">
        <v>585883.80178058089</v>
      </c>
      <c r="K417" s="105"/>
      <c r="L417" s="356">
        <f t="shared" si="66"/>
        <v>0</v>
      </c>
      <c r="M417" s="453"/>
      <c r="N417" s="68"/>
      <c r="O417" s="362" t="s">
        <v>1136</v>
      </c>
      <c r="P417" s="362" t="s">
        <v>881</v>
      </c>
      <c r="Q417" s="339"/>
    </row>
    <row r="418" spans="1:17" s="336" customFormat="1" ht="22.5">
      <c r="A418" s="240"/>
      <c r="B418" s="319">
        <f t="shared" si="62"/>
        <v>0</v>
      </c>
      <c r="C418" s="158"/>
      <c r="D418" s="413" t="s">
        <v>1229</v>
      </c>
      <c r="E418" s="362" t="str">
        <f>Lists!C389</f>
        <v>Water Treatment Plant 40 ML/day</v>
      </c>
      <c r="F418" s="350"/>
      <c r="G418" s="353"/>
      <c r="H418" s="18"/>
      <c r="I418" s="362" t="s">
        <v>678</v>
      </c>
      <c r="J418" s="361">
        <v>739080.71611761418</v>
      </c>
      <c r="K418" s="105"/>
      <c r="L418" s="356">
        <f t="shared" si="66"/>
        <v>0</v>
      </c>
      <c r="M418" s="453"/>
      <c r="N418" s="68"/>
      <c r="O418" s="362" t="s">
        <v>1136</v>
      </c>
      <c r="P418" s="362" t="s">
        <v>881</v>
      </c>
      <c r="Q418" s="339"/>
    </row>
    <row r="419" spans="1:17" s="336" customFormat="1" ht="22.5">
      <c r="A419" s="240"/>
      <c r="B419" s="319">
        <f t="shared" si="62"/>
        <v>0</v>
      </c>
      <c r="C419" s="158"/>
      <c r="D419" s="413" t="s">
        <v>1230</v>
      </c>
      <c r="E419" s="362" t="str">
        <f>Lists!C390</f>
        <v>Water Treatment Plant 80 ML/day BC&amp;TC</v>
      </c>
      <c r="F419" s="350"/>
      <c r="G419" s="353"/>
      <c r="H419" s="18"/>
      <c r="I419" s="362" t="s">
        <v>678</v>
      </c>
      <c r="J419" s="361">
        <v>2692881.1499678679</v>
      </c>
      <c r="K419" s="105"/>
      <c r="L419" s="356">
        <f>IF(K419="",J419,K419)*H419</f>
        <v>0</v>
      </c>
      <c r="M419" s="453"/>
      <c r="N419" s="68"/>
      <c r="O419" s="362" t="s">
        <v>1136</v>
      </c>
      <c r="P419" s="362" t="s">
        <v>881</v>
      </c>
      <c r="Q419" s="339"/>
    </row>
    <row r="420" spans="1:17" s="336" customFormat="1" ht="22.5">
      <c r="A420" s="240"/>
      <c r="B420" s="319">
        <f t="shared" si="62"/>
        <v>0</v>
      </c>
      <c r="C420" s="158"/>
      <c r="D420" s="413" t="s">
        <v>1231</v>
      </c>
      <c r="E420" s="362" t="str">
        <f>Lists!C391</f>
        <v>Water Treatment Plant 100 ML/day BC&amp;TC</v>
      </c>
      <c r="F420" s="350"/>
      <c r="G420" s="353"/>
      <c r="H420" s="18"/>
      <c r="I420" s="362" t="s">
        <v>678</v>
      </c>
      <c r="J420" s="388">
        <v>3092657.2624225523</v>
      </c>
      <c r="K420" s="105"/>
      <c r="L420" s="356">
        <f t="shared" si="66"/>
        <v>0</v>
      </c>
      <c r="M420" s="453"/>
      <c r="N420" s="68"/>
      <c r="O420" s="362" t="s">
        <v>1136</v>
      </c>
      <c r="P420" s="362" t="s">
        <v>881</v>
      </c>
      <c r="Q420" s="339"/>
    </row>
    <row r="421" spans="1:17" s="336" customFormat="1" ht="45">
      <c r="A421" s="240"/>
      <c r="B421" s="319">
        <f t="shared" si="62"/>
        <v>0</v>
      </c>
      <c r="C421" s="158"/>
      <c r="D421" s="384"/>
      <c r="E421" s="362" t="s">
        <v>1232</v>
      </c>
      <c r="F421" s="417">
        <f>SUM('Water Facilities User Build'!E84:N84)</f>
        <v>0</v>
      </c>
      <c r="G421" s="408">
        <f>IF(SUM('Water Facilities User Build'!E84:N84)=0,0,1)</f>
        <v>0</v>
      </c>
      <c r="H421" s="367"/>
      <c r="I421" s="362" t="s">
        <v>1152</v>
      </c>
      <c r="J421" s="366"/>
      <c r="K421" s="367"/>
      <c r="L421" s="356">
        <f>IF(K421="",F421,K421)*G421</f>
        <v>0</v>
      </c>
      <c r="M421" s="453"/>
      <c r="N421" s="68"/>
      <c r="O421" s="362" t="s">
        <v>1136</v>
      </c>
      <c r="P421" s="362" t="s">
        <v>1233</v>
      </c>
      <c r="Q421" s="339"/>
    </row>
    <row r="422" spans="1:17" s="336" customFormat="1">
      <c r="A422" s="240"/>
      <c r="B422" s="319">
        <f t="shared" si="62"/>
        <v>0</v>
      </c>
      <c r="C422" s="158"/>
      <c r="D422" s="384"/>
      <c r="E422" s="362" t="s">
        <v>1234</v>
      </c>
      <c r="F422" s="350"/>
      <c r="G422" s="352"/>
      <c r="H422" s="412"/>
      <c r="I422" s="354" t="s">
        <v>159</v>
      </c>
      <c r="J422" s="410"/>
      <c r="K422" s="412"/>
      <c r="L422" s="356">
        <f>'Process Facilities'!L3</f>
        <v>0</v>
      </c>
      <c r="M422" s="453"/>
      <c r="N422" s="68"/>
      <c r="O422" s="362" t="s">
        <v>1154</v>
      </c>
      <c r="P422" s="362" t="s">
        <v>1176</v>
      </c>
      <c r="Q422" s="339"/>
    </row>
    <row r="423" spans="1:17" s="336" customFormat="1" ht="22.5">
      <c r="A423" s="240"/>
      <c r="B423" s="319">
        <f t="shared" si="62"/>
        <v>0</v>
      </c>
      <c r="C423" s="158"/>
      <c r="D423" s="413" t="s">
        <v>1235</v>
      </c>
      <c r="E423" s="362" t="s">
        <v>1236</v>
      </c>
      <c r="F423" s="350"/>
      <c r="G423" s="353"/>
      <c r="H423" s="18"/>
      <c r="I423" s="362" t="s">
        <v>678</v>
      </c>
      <c r="J423" s="361">
        <v>60505.795767017473</v>
      </c>
      <c r="K423" s="105"/>
      <c r="L423" s="356">
        <f t="shared" si="66"/>
        <v>0</v>
      </c>
      <c r="M423" s="453"/>
      <c r="N423" s="68"/>
      <c r="O423" s="362" t="s">
        <v>1136</v>
      </c>
      <c r="P423" s="362" t="s">
        <v>881</v>
      </c>
      <c r="Q423" s="339"/>
    </row>
    <row r="424" spans="1:17" s="336" customFormat="1" ht="22.5">
      <c r="A424" s="240"/>
      <c r="B424" s="319">
        <f t="shared" si="62"/>
        <v>0</v>
      </c>
      <c r="C424" s="158"/>
      <c r="D424" s="413" t="s">
        <v>1237</v>
      </c>
      <c r="E424" s="362" t="s">
        <v>1238</v>
      </c>
      <c r="F424" s="350"/>
      <c r="G424" s="353"/>
      <c r="H424" s="18"/>
      <c r="I424" s="362" t="s">
        <v>678</v>
      </c>
      <c r="J424" s="361">
        <v>176230.19533442293</v>
      </c>
      <c r="K424" s="105"/>
      <c r="L424" s="356">
        <f t="shared" si="66"/>
        <v>0</v>
      </c>
      <c r="M424" s="453"/>
      <c r="N424" s="68"/>
      <c r="O424" s="362" t="s">
        <v>1136</v>
      </c>
      <c r="P424" s="362" t="s">
        <v>881</v>
      </c>
      <c r="Q424" s="339"/>
    </row>
    <row r="425" spans="1:17" s="336" customFormat="1" ht="45">
      <c r="A425" s="240"/>
      <c r="B425" s="319">
        <f t="shared" si="62"/>
        <v>0</v>
      </c>
      <c r="C425" s="158"/>
      <c r="D425" s="413" t="s">
        <v>1239</v>
      </c>
      <c r="E425" s="362" t="s">
        <v>1240</v>
      </c>
      <c r="F425" s="350"/>
      <c r="G425" s="353"/>
      <c r="H425" s="18"/>
      <c r="I425" s="362" t="s">
        <v>678</v>
      </c>
      <c r="J425" s="361">
        <v>275288.30427520763</v>
      </c>
      <c r="K425" s="105"/>
      <c r="L425" s="356">
        <f t="shared" si="66"/>
        <v>0</v>
      </c>
      <c r="M425" s="453"/>
      <c r="N425" s="68"/>
      <c r="O425" s="362" t="s">
        <v>1136</v>
      </c>
      <c r="P425" s="362" t="s">
        <v>1233</v>
      </c>
      <c r="Q425" s="339"/>
    </row>
    <row r="426" spans="1:17" s="336" customFormat="1" ht="56.25">
      <c r="A426" s="240"/>
      <c r="B426" s="319">
        <f t="shared" si="62"/>
        <v>0</v>
      </c>
      <c r="C426" s="158"/>
      <c r="D426" s="413" t="s">
        <v>1241</v>
      </c>
      <c r="E426" s="362" t="s">
        <v>209</v>
      </c>
      <c r="F426" s="350"/>
      <c r="G426" s="353"/>
      <c r="H426" s="18"/>
      <c r="I426" s="362" t="s">
        <v>1242</v>
      </c>
      <c r="J426" s="361">
        <v>50000</v>
      </c>
      <c r="K426" s="105"/>
      <c r="L426" s="356">
        <f t="shared" si="66"/>
        <v>0</v>
      </c>
      <c r="M426" s="453"/>
      <c r="N426" s="68"/>
      <c r="O426" s="362" t="s">
        <v>1243</v>
      </c>
      <c r="P426" s="362" t="s">
        <v>1244</v>
      </c>
      <c r="Q426" s="339"/>
    </row>
    <row r="427" spans="1:17" s="336" customFormat="1">
      <c r="A427" s="240"/>
      <c r="B427" s="319">
        <f t="shared" si="62"/>
        <v>0</v>
      </c>
      <c r="C427" s="158"/>
      <c r="D427" s="413" t="s">
        <v>1245</v>
      </c>
      <c r="E427" s="362" t="str">
        <f>Lists!C234</f>
        <v>Water pH Adjustment</v>
      </c>
      <c r="F427" s="350"/>
      <c r="G427" s="350"/>
      <c r="H427" s="18"/>
      <c r="I427" s="362" t="s">
        <v>161</v>
      </c>
      <c r="J427" s="361">
        <v>1911.9507208936452</v>
      </c>
      <c r="K427" s="105"/>
      <c r="L427" s="356">
        <f t="shared" si="66"/>
        <v>0</v>
      </c>
      <c r="M427" s="453"/>
      <c r="N427" s="68"/>
      <c r="O427" s="362" t="s">
        <v>1246</v>
      </c>
      <c r="P427" s="362" t="s">
        <v>1247</v>
      </c>
      <c r="Q427" s="339"/>
    </row>
    <row r="428" spans="1:17" s="336" customFormat="1" ht="45">
      <c r="A428" s="240"/>
      <c r="B428" s="319">
        <f t="shared" si="62"/>
        <v>0</v>
      </c>
      <c r="C428" s="158"/>
      <c r="D428" s="413" t="s">
        <v>1248</v>
      </c>
      <c r="E428" s="362" t="str">
        <f>Lists!C235</f>
        <v>Water Salt Removal</v>
      </c>
      <c r="F428" s="350"/>
      <c r="G428" s="353"/>
      <c r="H428" s="18"/>
      <c r="I428" s="362" t="s">
        <v>161</v>
      </c>
      <c r="J428" s="361">
        <v>2715.9096250032344</v>
      </c>
      <c r="K428" s="105"/>
      <c r="L428" s="356">
        <f t="shared" si="66"/>
        <v>0</v>
      </c>
      <c r="M428" s="453"/>
      <c r="N428" s="68"/>
      <c r="O428" s="362" t="s">
        <v>1246</v>
      </c>
      <c r="P428" s="362" t="s">
        <v>1249</v>
      </c>
      <c r="Q428" s="339"/>
    </row>
    <row r="429" spans="1:17" s="336" customFormat="1" ht="33.75">
      <c r="A429" s="240"/>
      <c r="B429" s="319">
        <f t="shared" si="62"/>
        <v>0</v>
      </c>
      <c r="C429" s="158"/>
      <c r="D429" s="413" t="s">
        <v>1250</v>
      </c>
      <c r="E429" s="362" t="str">
        <f>Lists!C236</f>
        <v>Water Organics Removal</v>
      </c>
      <c r="F429" s="350"/>
      <c r="G429" s="353"/>
      <c r="H429" s="18"/>
      <c r="I429" s="362" t="s">
        <v>161</v>
      </c>
      <c r="J429" s="361">
        <v>2026.5868096985578</v>
      </c>
      <c r="K429" s="105"/>
      <c r="L429" s="356">
        <f t="shared" si="66"/>
        <v>0</v>
      </c>
      <c r="M429" s="453"/>
      <c r="N429" s="68"/>
      <c r="O429" s="362" t="s">
        <v>1246</v>
      </c>
      <c r="P429" s="362" t="s">
        <v>1251</v>
      </c>
      <c r="Q429" s="339"/>
    </row>
    <row r="430" spans="1:17" s="336" customFormat="1" ht="78.75">
      <c r="A430" s="240"/>
      <c r="B430" s="319">
        <f t="shared" si="62"/>
        <v>0</v>
      </c>
      <c r="C430" s="158"/>
      <c r="D430" s="413" t="s">
        <v>1252</v>
      </c>
      <c r="E430" s="362" t="s">
        <v>1253</v>
      </c>
      <c r="F430" s="350"/>
      <c r="G430" s="353"/>
      <c r="H430" s="18"/>
      <c r="I430" s="362" t="s">
        <v>24</v>
      </c>
      <c r="J430" s="361">
        <v>5.1871457781429378</v>
      </c>
      <c r="K430" s="105"/>
      <c r="L430" s="356">
        <f t="shared" si="66"/>
        <v>0</v>
      </c>
      <c r="M430" s="453"/>
      <c r="N430" s="68"/>
      <c r="O430" s="362" t="s">
        <v>1254</v>
      </c>
      <c r="P430" s="362" t="s">
        <v>1255</v>
      </c>
      <c r="Q430" s="339"/>
    </row>
    <row r="431" spans="1:17" s="336" customFormat="1">
      <c r="A431" s="240"/>
      <c r="B431" s="319">
        <f t="shared" si="62"/>
        <v>0</v>
      </c>
      <c r="C431" s="158"/>
      <c r="D431" s="413" t="s">
        <v>1256</v>
      </c>
      <c r="E431" s="362" t="s">
        <v>1257</v>
      </c>
      <c r="F431" s="350"/>
      <c r="G431" s="353"/>
      <c r="H431" s="418">
        <f>H430</f>
        <v>0</v>
      </c>
      <c r="I431" s="362" t="s">
        <v>24</v>
      </c>
      <c r="J431" s="361">
        <v>100.43276636952</v>
      </c>
      <c r="K431" s="105"/>
      <c r="L431" s="356">
        <f>IF(K431="",J431,K431)*H431</f>
        <v>0</v>
      </c>
      <c r="M431" s="453"/>
      <c r="N431" s="68"/>
      <c r="O431" s="362" t="s">
        <v>1258</v>
      </c>
      <c r="P431" s="362" t="s">
        <v>1259</v>
      </c>
      <c r="Q431" s="339"/>
    </row>
    <row r="432" spans="1:17" s="336" customFormat="1" ht="33.75">
      <c r="A432" s="240"/>
      <c r="B432" s="319">
        <f t="shared" si="62"/>
        <v>0</v>
      </c>
      <c r="C432" s="2"/>
      <c r="D432" s="413" t="s">
        <v>1260</v>
      </c>
      <c r="E432" s="362" t="str">
        <f>Lists!C242</f>
        <v>Water Pumping</v>
      </c>
      <c r="F432" s="350"/>
      <c r="G432" s="353"/>
      <c r="H432" s="19"/>
      <c r="I432" s="387" t="s">
        <v>161</v>
      </c>
      <c r="J432" s="361">
        <v>120.44708803025631</v>
      </c>
      <c r="K432" s="105"/>
      <c r="L432" s="356">
        <f>IF(K432="",J432,K432)*H432</f>
        <v>0</v>
      </c>
      <c r="M432" s="453"/>
      <c r="N432" s="68"/>
      <c r="O432" s="362" t="s">
        <v>1261</v>
      </c>
      <c r="P432" s="362" t="s">
        <v>1262</v>
      </c>
      <c r="Q432" s="339"/>
    </row>
    <row r="433" spans="1:17" s="336" customFormat="1">
      <c r="A433" s="240"/>
      <c r="B433" s="319">
        <f t="shared" si="62"/>
        <v>0</v>
      </c>
      <c r="C433" s="2"/>
      <c r="D433" s="413" t="s">
        <v>1263</v>
      </c>
      <c r="E433" s="70" t="s">
        <v>535</v>
      </c>
      <c r="F433" s="350"/>
      <c r="G433" s="353"/>
      <c r="H433" s="19"/>
      <c r="I433" s="77"/>
      <c r="J433" s="389"/>
      <c r="K433" s="105"/>
      <c r="L433" s="356">
        <f>H433*K433</f>
        <v>0</v>
      </c>
      <c r="M433" s="453"/>
      <c r="N433" s="68"/>
      <c r="O433" s="390"/>
      <c r="P433" s="84"/>
      <c r="Q433" s="363"/>
    </row>
    <row r="434" spans="1:17" s="336" customFormat="1">
      <c r="A434" s="240"/>
      <c r="B434" s="319">
        <f t="shared" si="62"/>
        <v>0</v>
      </c>
      <c r="C434" s="73"/>
      <c r="D434" s="413" t="s">
        <v>1264</v>
      </c>
      <c r="E434" s="72" t="s">
        <v>535</v>
      </c>
      <c r="F434" s="350"/>
      <c r="G434" s="353"/>
      <c r="H434" s="63"/>
      <c r="I434" s="81"/>
      <c r="J434" s="391"/>
      <c r="K434" s="105"/>
      <c r="L434" s="402">
        <f>H434*K434</f>
        <v>0</v>
      </c>
      <c r="M434" s="453"/>
      <c r="N434" s="68"/>
      <c r="O434" s="390"/>
      <c r="P434" s="70"/>
      <c r="Q434" s="363"/>
    </row>
    <row r="435" spans="1:17" s="336" customFormat="1">
      <c r="A435" s="240"/>
      <c r="B435" s="319">
        <v>1</v>
      </c>
      <c r="C435" s="370"/>
      <c r="D435" s="371"/>
      <c r="E435" s="371"/>
      <c r="F435" s="371"/>
      <c r="G435" s="371"/>
      <c r="H435" s="372"/>
      <c r="I435" s="371"/>
      <c r="J435" s="373"/>
      <c r="K435" s="374" t="s">
        <v>198</v>
      </c>
      <c r="L435" s="375">
        <f>SUBTOTAL(9,L411:L434)</f>
        <v>0</v>
      </c>
      <c r="M435" s="392"/>
      <c r="N435" s="393"/>
      <c r="O435" s="394"/>
      <c r="P435" s="395"/>
      <c r="Q435" s="339"/>
    </row>
    <row r="436" spans="1:17" s="336" customFormat="1" ht="15">
      <c r="A436" s="240"/>
      <c r="B436" s="319">
        <v>1</v>
      </c>
      <c r="C436" s="340" t="s">
        <v>1265</v>
      </c>
      <c r="D436" s="341"/>
      <c r="E436" s="342"/>
      <c r="F436" s="342"/>
      <c r="G436" s="342"/>
      <c r="H436" s="380"/>
      <c r="I436" s="342"/>
      <c r="J436" s="381"/>
      <c r="K436" s="382"/>
      <c r="L436" s="383"/>
      <c r="M436" s="346"/>
      <c r="N436" s="347"/>
      <c r="O436" s="348"/>
      <c r="P436" s="349"/>
      <c r="Q436" s="339"/>
    </row>
    <row r="437" spans="1:17" s="336" customFormat="1">
      <c r="A437" s="240"/>
      <c r="B437" s="319">
        <f>IF(L437&gt;0,1,0)</f>
        <v>0</v>
      </c>
      <c r="C437" s="2"/>
      <c r="D437" s="398" t="s">
        <v>1266</v>
      </c>
      <c r="E437" s="362" t="s">
        <v>1267</v>
      </c>
      <c r="F437" s="350"/>
      <c r="G437" s="350"/>
      <c r="H437" s="350"/>
      <c r="I437" s="362" t="s">
        <v>1152</v>
      </c>
      <c r="J437" s="419"/>
      <c r="K437" s="419"/>
      <c r="L437" s="356">
        <f>'Water Storage User Build'!BJ41</f>
        <v>0</v>
      </c>
      <c r="M437" s="453"/>
      <c r="N437" s="68"/>
      <c r="O437" s="362" t="s">
        <v>1268</v>
      </c>
      <c r="P437" s="362" t="s">
        <v>1269</v>
      </c>
      <c r="Q437" s="339"/>
    </row>
    <row r="438" spans="1:17" s="336" customFormat="1" ht="78.75">
      <c r="A438" s="240"/>
      <c r="B438" s="319">
        <f t="shared" ref="B438:B501" si="67">IF(L438&gt;0,1,0)</f>
        <v>0</v>
      </c>
      <c r="C438" s="2"/>
      <c r="D438" s="398" t="s">
        <v>1270</v>
      </c>
      <c r="E438" s="362" t="s">
        <v>1271</v>
      </c>
      <c r="F438" s="350"/>
      <c r="G438" s="350"/>
      <c r="H438" s="350"/>
      <c r="I438" s="362" t="s">
        <v>159</v>
      </c>
      <c r="J438" s="419"/>
      <c r="K438" s="419"/>
      <c r="L438" s="356">
        <f>'Water Storage'!D4</f>
        <v>0</v>
      </c>
      <c r="M438" s="453"/>
      <c r="N438" s="68"/>
      <c r="O438" s="362" t="s">
        <v>1272</v>
      </c>
      <c r="P438" s="362" t="s">
        <v>1273</v>
      </c>
      <c r="Q438" s="339"/>
    </row>
    <row r="439" spans="1:17" s="336" customFormat="1" ht="90">
      <c r="A439" s="240"/>
      <c r="B439" s="319">
        <f t="shared" si="67"/>
        <v>0</v>
      </c>
      <c r="C439" s="2"/>
      <c r="D439" s="398" t="s">
        <v>1274</v>
      </c>
      <c r="E439" s="362" t="str">
        <f>Lists!C413</f>
        <v>Contaminated, Lined &gt; 0 and &lt;= 1 ML, Pasture</v>
      </c>
      <c r="F439" s="350"/>
      <c r="G439" s="353"/>
      <c r="H439" s="108"/>
      <c r="I439" s="362" t="s">
        <v>489</v>
      </c>
      <c r="J439" s="420">
        <v>8408.6252485529039</v>
      </c>
      <c r="K439" s="101"/>
      <c r="L439" s="356">
        <f t="shared" ref="L439:L458" si="68">IF(K439="",J439,K439)*H439</f>
        <v>0</v>
      </c>
      <c r="M439" s="453"/>
      <c r="N439" s="68"/>
      <c r="O439" s="362" t="s">
        <v>1275</v>
      </c>
      <c r="P439" s="362" t="s">
        <v>1276</v>
      </c>
      <c r="Q439" s="339"/>
    </row>
    <row r="440" spans="1:17" s="336" customFormat="1" ht="22.5">
      <c r="A440" s="240"/>
      <c r="B440" s="319">
        <f t="shared" si="67"/>
        <v>0</v>
      </c>
      <c r="C440" s="2"/>
      <c r="D440" s="398" t="s">
        <v>1277</v>
      </c>
      <c r="E440" s="362" t="str">
        <f>Lists!C414</f>
        <v>Contaminated, Lined &gt; 1 and &lt;= 3.5 ML, Pasture</v>
      </c>
      <c r="F440" s="350"/>
      <c r="G440" s="353"/>
      <c r="H440" s="108"/>
      <c r="I440" s="362" t="s">
        <v>489</v>
      </c>
      <c r="J440" s="420">
        <v>19476.77701421528</v>
      </c>
      <c r="K440" s="101"/>
      <c r="L440" s="356">
        <f t="shared" si="68"/>
        <v>0</v>
      </c>
      <c r="M440" s="453"/>
      <c r="N440" s="68"/>
      <c r="O440" s="362" t="s">
        <v>1275</v>
      </c>
      <c r="P440" s="362" t="s">
        <v>495</v>
      </c>
      <c r="Q440" s="339"/>
    </row>
    <row r="441" spans="1:17" s="336" customFormat="1" ht="22.5">
      <c r="A441" s="240"/>
      <c r="B441" s="319">
        <f t="shared" si="67"/>
        <v>0</v>
      </c>
      <c r="C441" s="2"/>
      <c r="D441" s="398" t="s">
        <v>1278</v>
      </c>
      <c r="E441" s="362" t="str">
        <f>Lists!C415</f>
        <v>Contaminated, Lined &gt; 3.5 and &lt;= 7.5 ML, Pasture</v>
      </c>
      <c r="F441" s="350"/>
      <c r="G441" s="353"/>
      <c r="H441" s="108"/>
      <c r="I441" s="362" t="s">
        <v>489</v>
      </c>
      <c r="J441" s="420">
        <v>35320.201593428566</v>
      </c>
      <c r="K441" s="101"/>
      <c r="L441" s="356">
        <f t="shared" si="68"/>
        <v>0</v>
      </c>
      <c r="M441" s="453"/>
      <c r="N441" s="68"/>
      <c r="O441" s="362" t="s">
        <v>1275</v>
      </c>
      <c r="P441" s="362" t="s">
        <v>495</v>
      </c>
      <c r="Q441" s="339"/>
    </row>
    <row r="442" spans="1:17" s="336" customFormat="1" ht="22.5">
      <c r="A442" s="240"/>
      <c r="B442" s="319">
        <f t="shared" si="67"/>
        <v>0</v>
      </c>
      <c r="C442" s="2"/>
      <c r="D442" s="398" t="s">
        <v>1279</v>
      </c>
      <c r="E442" s="362" t="str">
        <f>Lists!C416</f>
        <v>Contaminated, Lined &gt; 7.5 and &lt;= 10 ML, Pasture</v>
      </c>
      <c r="F442" s="350"/>
      <c r="G442" s="353"/>
      <c r="H442" s="108"/>
      <c r="I442" s="362" t="s">
        <v>489</v>
      </c>
      <c r="J442" s="420">
        <v>48105.882036645547</v>
      </c>
      <c r="K442" s="101"/>
      <c r="L442" s="356">
        <f t="shared" si="68"/>
        <v>0</v>
      </c>
      <c r="M442" s="453"/>
      <c r="N442" s="68"/>
      <c r="O442" s="362" t="s">
        <v>1275</v>
      </c>
      <c r="P442" s="362" t="s">
        <v>495</v>
      </c>
      <c r="Q442" s="339"/>
    </row>
    <row r="443" spans="1:17" s="336" customFormat="1" ht="22.5">
      <c r="A443" s="240"/>
      <c r="B443" s="319">
        <f t="shared" si="67"/>
        <v>0</v>
      </c>
      <c r="C443" s="2"/>
      <c r="D443" s="398" t="s">
        <v>1280</v>
      </c>
      <c r="E443" s="362" t="str">
        <f>Lists!C417</f>
        <v>Contaminated, Lined &gt; 10 and &lt;= 20 ML, Pasture</v>
      </c>
      <c r="F443" s="350"/>
      <c r="G443" s="353"/>
      <c r="H443" s="108"/>
      <c r="I443" s="362" t="s">
        <v>489</v>
      </c>
      <c r="J443" s="420">
        <v>84863.556340235082</v>
      </c>
      <c r="K443" s="101"/>
      <c r="L443" s="356">
        <f t="shared" si="68"/>
        <v>0</v>
      </c>
      <c r="M443" s="453"/>
      <c r="N443" s="68"/>
      <c r="O443" s="362" t="s">
        <v>1275</v>
      </c>
      <c r="P443" s="362" t="s">
        <v>495</v>
      </c>
      <c r="Q443" s="339"/>
    </row>
    <row r="444" spans="1:17" s="336" customFormat="1" ht="22.5">
      <c r="A444" s="240"/>
      <c r="B444" s="319">
        <f t="shared" si="67"/>
        <v>0</v>
      </c>
      <c r="C444" s="2"/>
      <c r="D444" s="398" t="s">
        <v>1281</v>
      </c>
      <c r="E444" s="362" t="str">
        <f>Lists!C418</f>
        <v>Contaminated, Lined &gt; 20 and &lt;= 50 ML, Pasture</v>
      </c>
      <c r="F444" s="350"/>
      <c r="G444" s="353"/>
      <c r="H444" s="108"/>
      <c r="I444" s="362" t="s">
        <v>489</v>
      </c>
      <c r="J444" s="420">
        <v>126591.39675888183</v>
      </c>
      <c r="K444" s="101"/>
      <c r="L444" s="356">
        <f t="shared" si="68"/>
        <v>0</v>
      </c>
      <c r="M444" s="453"/>
      <c r="N444" s="68"/>
      <c r="O444" s="362" t="s">
        <v>1275</v>
      </c>
      <c r="P444" s="362" t="s">
        <v>495</v>
      </c>
      <c r="Q444" s="339"/>
    </row>
    <row r="445" spans="1:17" s="336" customFormat="1" ht="22.5">
      <c r="A445" s="240"/>
      <c r="B445" s="319">
        <f t="shared" si="67"/>
        <v>0</v>
      </c>
      <c r="C445" s="2"/>
      <c r="D445" s="398" t="s">
        <v>1282</v>
      </c>
      <c r="E445" s="362" t="str">
        <f>Lists!C419</f>
        <v>Contaminated, Lined &gt; 50 and &lt;= 100 ML, Pasture</v>
      </c>
      <c r="F445" s="350"/>
      <c r="G445" s="353"/>
      <c r="H445" s="108"/>
      <c r="I445" s="362" t="s">
        <v>489</v>
      </c>
      <c r="J445" s="420">
        <v>176568.97809060075</v>
      </c>
      <c r="K445" s="101"/>
      <c r="L445" s="356">
        <f t="shared" si="68"/>
        <v>0</v>
      </c>
      <c r="M445" s="453"/>
      <c r="N445" s="68"/>
      <c r="O445" s="362" t="s">
        <v>1275</v>
      </c>
      <c r="P445" s="362" t="s">
        <v>495</v>
      </c>
      <c r="Q445" s="339"/>
    </row>
    <row r="446" spans="1:17" s="336" customFormat="1" ht="22.5">
      <c r="A446" s="240"/>
      <c r="B446" s="319">
        <f t="shared" si="67"/>
        <v>0</v>
      </c>
      <c r="C446" s="2"/>
      <c r="D446" s="398" t="s">
        <v>1283</v>
      </c>
      <c r="E446" s="362" t="str">
        <f>Lists!C420</f>
        <v>Contaminated, Lined &gt; 100 and &lt;= 200 ML, Pasture</v>
      </c>
      <c r="F446" s="350"/>
      <c r="G446" s="353"/>
      <c r="H446" s="108"/>
      <c r="I446" s="362" t="s">
        <v>489</v>
      </c>
      <c r="J446" s="420">
        <v>272297.33146854257</v>
      </c>
      <c r="K446" s="101"/>
      <c r="L446" s="356">
        <f t="shared" si="68"/>
        <v>0</v>
      </c>
      <c r="M446" s="453"/>
      <c r="N446" s="68"/>
      <c r="O446" s="362" t="s">
        <v>1275</v>
      </c>
      <c r="P446" s="362" t="s">
        <v>495</v>
      </c>
      <c r="Q446" s="339"/>
    </row>
    <row r="447" spans="1:17" s="336" customFormat="1" ht="22.5">
      <c r="A447" s="240"/>
      <c r="B447" s="319">
        <f t="shared" si="67"/>
        <v>0</v>
      </c>
      <c r="C447" s="2"/>
      <c r="D447" s="398" t="s">
        <v>1284</v>
      </c>
      <c r="E447" s="362" t="str">
        <f>Lists!C421</f>
        <v>Contaminated, Lined &gt; 200 and &lt;= 300 ML, Pasture</v>
      </c>
      <c r="F447" s="350"/>
      <c r="G447" s="353"/>
      <c r="H447" s="108"/>
      <c r="I447" s="362" t="s">
        <v>489</v>
      </c>
      <c r="J447" s="420">
        <v>417281.23475608876</v>
      </c>
      <c r="K447" s="101"/>
      <c r="L447" s="356">
        <f t="shared" si="68"/>
        <v>0</v>
      </c>
      <c r="M447" s="453"/>
      <c r="N447" s="68"/>
      <c r="O447" s="362" t="s">
        <v>1275</v>
      </c>
      <c r="P447" s="362" t="s">
        <v>495</v>
      </c>
      <c r="Q447" s="339"/>
    </row>
    <row r="448" spans="1:17" s="336" customFormat="1" ht="22.5">
      <c r="A448" s="240"/>
      <c r="B448" s="319">
        <f t="shared" si="67"/>
        <v>0</v>
      </c>
      <c r="C448" s="2"/>
      <c r="D448" s="398" t="s">
        <v>1285</v>
      </c>
      <c r="E448" s="362" t="str">
        <f>Lists!C422</f>
        <v>Contaminated, Lined &gt; 300 and &lt;= 500 ML, Pasture</v>
      </c>
      <c r="F448" s="350"/>
      <c r="G448" s="353"/>
      <c r="H448" s="108"/>
      <c r="I448" s="362" t="s">
        <v>489</v>
      </c>
      <c r="J448" s="420">
        <v>573581.96253088803</v>
      </c>
      <c r="K448" s="101"/>
      <c r="L448" s="356">
        <f t="shared" si="68"/>
        <v>0</v>
      </c>
      <c r="M448" s="453"/>
      <c r="N448" s="68"/>
      <c r="O448" s="362" t="s">
        <v>1275</v>
      </c>
      <c r="P448" s="362" t="s">
        <v>495</v>
      </c>
      <c r="Q448" s="339"/>
    </row>
    <row r="449" spans="1:17" s="336" customFormat="1" ht="22.5">
      <c r="A449" s="240"/>
      <c r="B449" s="319">
        <f t="shared" si="67"/>
        <v>0</v>
      </c>
      <c r="C449" s="2"/>
      <c r="D449" s="398" t="s">
        <v>1286</v>
      </c>
      <c r="E449" s="362" t="str">
        <f>Lists!C423</f>
        <v>Contaminated, Lined &gt; 500 and &lt;= 1000 ML, Pasture</v>
      </c>
      <c r="F449" s="350"/>
      <c r="G449" s="353"/>
      <c r="H449" s="108"/>
      <c r="I449" s="362" t="s">
        <v>489</v>
      </c>
      <c r="J449" s="420">
        <v>956657.02857591026</v>
      </c>
      <c r="K449" s="101"/>
      <c r="L449" s="356">
        <f t="shared" si="68"/>
        <v>0</v>
      </c>
      <c r="M449" s="453"/>
      <c r="N449" s="68"/>
      <c r="O449" s="362" t="s">
        <v>1275</v>
      </c>
      <c r="P449" s="362" t="s">
        <v>495</v>
      </c>
      <c r="Q449" s="339"/>
    </row>
    <row r="450" spans="1:17" s="336" customFormat="1" ht="22.5">
      <c r="A450" s="240"/>
      <c r="B450" s="319">
        <f t="shared" si="67"/>
        <v>0</v>
      </c>
      <c r="C450" s="2"/>
      <c r="D450" s="398" t="s">
        <v>1287</v>
      </c>
      <c r="E450" s="362" t="str">
        <f>Lists!C424</f>
        <v>Contaminated, Lined &gt; 1000 and &lt;= 2000 ML, Pasture</v>
      </c>
      <c r="F450" s="350"/>
      <c r="G450" s="353"/>
      <c r="H450" s="108"/>
      <c r="I450" s="362" t="s">
        <v>489</v>
      </c>
      <c r="J450" s="420">
        <v>1453828.2292532348</v>
      </c>
      <c r="K450" s="101"/>
      <c r="L450" s="356">
        <f t="shared" si="68"/>
        <v>0</v>
      </c>
      <c r="M450" s="453"/>
      <c r="N450" s="68"/>
      <c r="O450" s="362" t="s">
        <v>1275</v>
      </c>
      <c r="P450" s="362" t="s">
        <v>495</v>
      </c>
      <c r="Q450" s="339"/>
    </row>
    <row r="451" spans="1:17" s="336" customFormat="1" ht="22.5">
      <c r="A451" s="240"/>
      <c r="B451" s="319">
        <f t="shared" si="67"/>
        <v>0</v>
      </c>
      <c r="C451" s="2"/>
      <c r="D451" s="398" t="s">
        <v>1288</v>
      </c>
      <c r="E451" s="362" t="str">
        <f>Lists!C425</f>
        <v>Contaminated, Lined &gt; 2000 and &lt;= 3000 ML, Pasture</v>
      </c>
      <c r="F451" s="350"/>
      <c r="G451" s="353"/>
      <c r="H451" s="108"/>
      <c r="I451" s="362" t="s">
        <v>489</v>
      </c>
      <c r="J451" s="420">
        <v>1890273.6035863818</v>
      </c>
      <c r="K451" s="101"/>
      <c r="L451" s="356">
        <f t="shared" si="68"/>
        <v>0</v>
      </c>
      <c r="M451" s="453"/>
      <c r="N451" s="68"/>
      <c r="O451" s="362" t="s">
        <v>1275</v>
      </c>
      <c r="P451" s="362" t="s">
        <v>495</v>
      </c>
      <c r="Q451" s="339"/>
    </row>
    <row r="452" spans="1:17" s="336" customFormat="1" ht="22.5">
      <c r="A452" s="240"/>
      <c r="B452" s="319">
        <f t="shared" si="67"/>
        <v>0</v>
      </c>
      <c r="C452" s="2"/>
      <c r="D452" s="398" t="s">
        <v>1289</v>
      </c>
      <c r="E452" s="362" t="str">
        <f>Lists!C426</f>
        <v>Contaminated, Lined &gt; 3000 and &lt;= 4000 ML, Pasture</v>
      </c>
      <c r="F452" s="350"/>
      <c r="G452" s="353"/>
      <c r="H452" s="108"/>
      <c r="I452" s="362" t="s">
        <v>489</v>
      </c>
      <c r="J452" s="420">
        <v>2184609.1027884274</v>
      </c>
      <c r="K452" s="101"/>
      <c r="L452" s="356">
        <f t="shared" si="68"/>
        <v>0</v>
      </c>
      <c r="M452" s="453"/>
      <c r="N452" s="68"/>
      <c r="O452" s="362" t="s">
        <v>1275</v>
      </c>
      <c r="P452" s="362" t="s">
        <v>495</v>
      </c>
      <c r="Q452" s="339"/>
    </row>
    <row r="453" spans="1:17" s="336" customFormat="1" ht="22.5">
      <c r="A453" s="240"/>
      <c r="B453" s="319">
        <f t="shared" si="67"/>
        <v>0</v>
      </c>
      <c r="C453" s="2"/>
      <c r="D453" s="398" t="s">
        <v>1290</v>
      </c>
      <c r="E453" s="362" t="str">
        <f>Lists!C427</f>
        <v>Contaminated, Lined &gt; 4000 and &lt;= 5000 ML, Pasture</v>
      </c>
      <c r="F453" s="350"/>
      <c r="G453" s="353"/>
      <c r="H453" s="108"/>
      <c r="I453" s="362" t="s">
        <v>489</v>
      </c>
      <c r="J453" s="420">
        <v>2519142.7915850366</v>
      </c>
      <c r="K453" s="101"/>
      <c r="L453" s="356">
        <f t="shared" si="68"/>
        <v>0</v>
      </c>
      <c r="M453" s="453"/>
      <c r="N453" s="68"/>
      <c r="O453" s="362" t="s">
        <v>1275</v>
      </c>
      <c r="P453" s="362" t="s">
        <v>495</v>
      </c>
      <c r="Q453" s="339"/>
    </row>
    <row r="454" spans="1:17" s="336" customFormat="1" ht="90">
      <c r="A454" s="240"/>
      <c r="B454" s="319">
        <f t="shared" si="67"/>
        <v>0</v>
      </c>
      <c r="C454" s="2"/>
      <c r="D454" s="398" t="s">
        <v>1291</v>
      </c>
      <c r="E454" s="362" t="str">
        <f>Lists!C428</f>
        <v>Contaminated, Lined &gt; 0 and &lt;= 1 ML, Native</v>
      </c>
      <c r="F454" s="350"/>
      <c r="G454" s="353"/>
      <c r="H454" s="108"/>
      <c r="I454" s="362" t="s">
        <v>489</v>
      </c>
      <c r="J454" s="420">
        <v>8662.7252485529043</v>
      </c>
      <c r="K454" s="101"/>
      <c r="L454" s="356">
        <f t="shared" si="68"/>
        <v>0</v>
      </c>
      <c r="M454" s="453"/>
      <c r="N454" s="68"/>
      <c r="O454" s="362" t="s">
        <v>1275</v>
      </c>
      <c r="P454" s="362" t="s">
        <v>1292</v>
      </c>
      <c r="Q454" s="339"/>
    </row>
    <row r="455" spans="1:17" s="336" customFormat="1" ht="22.5">
      <c r="A455" s="240"/>
      <c r="B455" s="319">
        <f t="shared" si="67"/>
        <v>0</v>
      </c>
      <c r="C455" s="2"/>
      <c r="D455" s="398" t="s">
        <v>1293</v>
      </c>
      <c r="E455" s="362" t="str">
        <f>Lists!C429</f>
        <v>Contaminated, Lined &gt; 1 and &lt;= 3.5 ML, Native</v>
      </c>
      <c r="F455" s="350"/>
      <c r="G455" s="353"/>
      <c r="H455" s="108"/>
      <c r="I455" s="362" t="s">
        <v>489</v>
      </c>
      <c r="J455" s="420">
        <v>20239.07701421528</v>
      </c>
      <c r="K455" s="101"/>
      <c r="L455" s="356">
        <f t="shared" si="68"/>
        <v>0</v>
      </c>
      <c r="M455" s="453"/>
      <c r="N455" s="68"/>
      <c r="O455" s="362" t="s">
        <v>1275</v>
      </c>
      <c r="P455" s="362" t="s">
        <v>495</v>
      </c>
      <c r="Q455" s="339"/>
    </row>
    <row r="456" spans="1:17" s="336" customFormat="1" ht="22.5">
      <c r="A456" s="240"/>
      <c r="B456" s="319">
        <f t="shared" si="67"/>
        <v>0</v>
      </c>
      <c r="C456" s="2"/>
      <c r="D456" s="398" t="s">
        <v>1294</v>
      </c>
      <c r="E456" s="362" t="str">
        <f>Lists!C430</f>
        <v>Contaminated, Lined &gt; 3.5 and &lt;= 7.5 ML, Native</v>
      </c>
      <c r="F456" s="350"/>
      <c r="G456" s="353"/>
      <c r="H456" s="108"/>
      <c r="I456" s="362" t="s">
        <v>489</v>
      </c>
      <c r="J456" s="420">
        <v>36590.701593428566</v>
      </c>
      <c r="K456" s="101"/>
      <c r="L456" s="356">
        <f t="shared" si="68"/>
        <v>0</v>
      </c>
      <c r="M456" s="453"/>
      <c r="N456" s="68"/>
      <c r="O456" s="362" t="s">
        <v>1275</v>
      </c>
      <c r="P456" s="362" t="s">
        <v>495</v>
      </c>
      <c r="Q456" s="339"/>
    </row>
    <row r="457" spans="1:17" s="336" customFormat="1" ht="22.5">
      <c r="A457" s="240"/>
      <c r="B457" s="319">
        <f t="shared" si="67"/>
        <v>0</v>
      </c>
      <c r="C457" s="2"/>
      <c r="D457" s="398" t="s">
        <v>1295</v>
      </c>
      <c r="E457" s="362" t="str">
        <f>Lists!C431</f>
        <v>Contaminated, Lined &gt; 7.5 and &lt;= 10 ML, Native</v>
      </c>
      <c r="F457" s="350"/>
      <c r="G457" s="353"/>
      <c r="H457" s="108"/>
      <c r="I457" s="362" t="s">
        <v>489</v>
      </c>
      <c r="J457" s="420">
        <v>49630.482036645553</v>
      </c>
      <c r="K457" s="101"/>
      <c r="L457" s="356">
        <f t="shared" si="68"/>
        <v>0</v>
      </c>
      <c r="M457" s="453"/>
      <c r="N457" s="68"/>
      <c r="O457" s="362" t="s">
        <v>1275</v>
      </c>
      <c r="P457" s="362" t="s">
        <v>495</v>
      </c>
      <c r="Q457" s="339"/>
    </row>
    <row r="458" spans="1:17" s="336" customFormat="1" ht="22.5">
      <c r="A458" s="240"/>
      <c r="B458" s="319">
        <f t="shared" si="67"/>
        <v>0</v>
      </c>
      <c r="C458" s="2"/>
      <c r="D458" s="398" t="s">
        <v>1296</v>
      </c>
      <c r="E458" s="362" t="str">
        <f>Lists!C432</f>
        <v>Contaminated, Lined &gt; 10 and &lt;= 20 ML, Native</v>
      </c>
      <c r="F458" s="350"/>
      <c r="G458" s="353"/>
      <c r="H458" s="108"/>
      <c r="I458" s="362" t="s">
        <v>489</v>
      </c>
      <c r="J458" s="420">
        <v>87912.756340235093</v>
      </c>
      <c r="K458" s="101"/>
      <c r="L458" s="356">
        <f t="shared" si="68"/>
        <v>0</v>
      </c>
      <c r="M458" s="453"/>
      <c r="N458" s="68"/>
      <c r="O458" s="362" t="s">
        <v>1275</v>
      </c>
      <c r="P458" s="362" t="s">
        <v>495</v>
      </c>
      <c r="Q458" s="339"/>
    </row>
    <row r="459" spans="1:17" s="336" customFormat="1" ht="22.5">
      <c r="A459" s="240"/>
      <c r="B459" s="319">
        <f t="shared" si="67"/>
        <v>0</v>
      </c>
      <c r="C459" s="2"/>
      <c r="D459" s="398" t="s">
        <v>1297</v>
      </c>
      <c r="E459" s="362" t="str">
        <f>Lists!C433</f>
        <v>Contaminated, Lined &gt; 20 and &lt;= 50 ML, Native</v>
      </c>
      <c r="F459" s="350"/>
      <c r="G459" s="353"/>
      <c r="H459" s="108"/>
      <c r="I459" s="362" t="s">
        <v>489</v>
      </c>
      <c r="J459" s="420">
        <v>131419.29675888186</v>
      </c>
      <c r="K459" s="101"/>
      <c r="L459" s="356">
        <f t="shared" ref="L459:L520" si="69">IF(K459="",J459,K459)*H459</f>
        <v>0</v>
      </c>
      <c r="M459" s="453"/>
      <c r="N459" s="68"/>
      <c r="O459" s="362" t="s">
        <v>1275</v>
      </c>
      <c r="P459" s="362" t="s">
        <v>495</v>
      </c>
      <c r="Q459" s="339"/>
    </row>
    <row r="460" spans="1:17" s="336" customFormat="1" ht="22.5">
      <c r="A460" s="240"/>
      <c r="B460" s="319">
        <f t="shared" si="67"/>
        <v>0</v>
      </c>
      <c r="C460" s="2"/>
      <c r="D460" s="398" t="s">
        <v>1298</v>
      </c>
      <c r="E460" s="362" t="str">
        <f>Lists!C434</f>
        <v>Contaminated, Lined &gt; 50 and &lt;= 100 ML, Native</v>
      </c>
      <c r="F460" s="350"/>
      <c r="G460" s="353"/>
      <c r="H460" s="108"/>
      <c r="I460" s="362" t="s">
        <v>489</v>
      </c>
      <c r="J460" s="420">
        <v>183429.67809060073</v>
      </c>
      <c r="K460" s="101"/>
      <c r="L460" s="356">
        <f t="shared" si="69"/>
        <v>0</v>
      </c>
      <c r="M460" s="453"/>
      <c r="N460" s="68"/>
      <c r="O460" s="362" t="s">
        <v>1275</v>
      </c>
      <c r="P460" s="362" t="s">
        <v>495</v>
      </c>
      <c r="Q460" s="339"/>
    </row>
    <row r="461" spans="1:17" s="336" customFormat="1" ht="22.5">
      <c r="A461" s="240"/>
      <c r="B461" s="319">
        <f t="shared" si="67"/>
        <v>0</v>
      </c>
      <c r="C461" s="2"/>
      <c r="D461" s="398" t="s">
        <v>1299</v>
      </c>
      <c r="E461" s="362" t="str">
        <f>Lists!C435</f>
        <v>Contaminated, Lined &gt; 100 and &lt;= 200 ML, Native</v>
      </c>
      <c r="F461" s="350"/>
      <c r="G461" s="353"/>
      <c r="H461" s="108"/>
      <c r="I461" s="362" t="s">
        <v>489</v>
      </c>
      <c r="J461" s="420">
        <v>283731.83146854257</v>
      </c>
      <c r="K461" s="101"/>
      <c r="L461" s="356">
        <f t="shared" si="69"/>
        <v>0</v>
      </c>
      <c r="M461" s="453"/>
      <c r="N461" s="68"/>
      <c r="O461" s="362" t="s">
        <v>1275</v>
      </c>
      <c r="P461" s="362" t="s">
        <v>495</v>
      </c>
      <c r="Q461" s="339"/>
    </row>
    <row r="462" spans="1:17" s="336" customFormat="1" ht="22.5">
      <c r="A462" s="240"/>
      <c r="B462" s="319">
        <f t="shared" si="67"/>
        <v>0</v>
      </c>
      <c r="C462" s="2"/>
      <c r="D462" s="398" t="s">
        <v>1300</v>
      </c>
      <c r="E462" s="362" t="str">
        <f>Lists!C436</f>
        <v>Contaminated, Lined &gt; 200 and &lt;= 300 ML, Native</v>
      </c>
      <c r="F462" s="350"/>
      <c r="G462" s="353"/>
      <c r="H462" s="108"/>
      <c r="I462" s="362" t="s">
        <v>489</v>
      </c>
      <c r="J462" s="420">
        <v>435068.23475608876</v>
      </c>
      <c r="K462" s="101"/>
      <c r="L462" s="356">
        <f t="shared" si="69"/>
        <v>0</v>
      </c>
      <c r="M462" s="453"/>
      <c r="N462" s="68"/>
      <c r="O462" s="362" t="s">
        <v>1275</v>
      </c>
      <c r="P462" s="362" t="s">
        <v>495</v>
      </c>
      <c r="Q462" s="339"/>
    </row>
    <row r="463" spans="1:17" s="336" customFormat="1" ht="22.5">
      <c r="A463" s="240"/>
      <c r="B463" s="319">
        <f t="shared" si="67"/>
        <v>0</v>
      </c>
      <c r="C463" s="2"/>
      <c r="D463" s="398" t="s">
        <v>1301</v>
      </c>
      <c r="E463" s="362" t="str">
        <f>Lists!C437</f>
        <v>Contaminated, Lined &gt; 300 and &lt;= 500 ML, Native</v>
      </c>
      <c r="F463" s="350"/>
      <c r="G463" s="353"/>
      <c r="H463" s="108"/>
      <c r="I463" s="362" t="s">
        <v>489</v>
      </c>
      <c r="J463" s="420">
        <v>599754.26253088797</v>
      </c>
      <c r="K463" s="101"/>
      <c r="L463" s="356">
        <f t="shared" si="69"/>
        <v>0</v>
      </c>
      <c r="M463" s="453"/>
      <c r="N463" s="68"/>
      <c r="O463" s="362" t="s">
        <v>1275</v>
      </c>
      <c r="P463" s="362" t="s">
        <v>495</v>
      </c>
      <c r="Q463" s="339"/>
    </row>
    <row r="464" spans="1:17" s="336" customFormat="1" ht="22.5">
      <c r="A464" s="240"/>
      <c r="B464" s="319">
        <f t="shared" si="67"/>
        <v>0</v>
      </c>
      <c r="C464" s="2"/>
      <c r="D464" s="398" t="s">
        <v>1302</v>
      </c>
      <c r="E464" s="362" t="str">
        <f>Lists!C438</f>
        <v>Contaminated, Lined &gt; 500 and &lt;= 1000 ML, Native</v>
      </c>
      <c r="F464" s="350"/>
      <c r="G464" s="353"/>
      <c r="H464" s="108"/>
      <c r="I464" s="362" t="s">
        <v>489</v>
      </c>
      <c r="J464" s="420">
        <v>1003665.5285759103</v>
      </c>
      <c r="K464" s="101"/>
      <c r="L464" s="356">
        <f t="shared" si="69"/>
        <v>0</v>
      </c>
      <c r="M464" s="453"/>
      <c r="N464" s="68"/>
      <c r="O464" s="362" t="s">
        <v>1275</v>
      </c>
      <c r="P464" s="362" t="s">
        <v>495</v>
      </c>
      <c r="Q464" s="339"/>
    </row>
    <row r="465" spans="1:17" s="336" customFormat="1" ht="22.5">
      <c r="A465" s="240"/>
      <c r="B465" s="319">
        <f t="shared" si="67"/>
        <v>0</v>
      </c>
      <c r="C465" s="2"/>
      <c r="D465" s="398" t="s">
        <v>1303</v>
      </c>
      <c r="E465" s="362" t="str">
        <f>Lists!C439</f>
        <v>Contaminated, Lined &gt; 1000 and &lt;= 2000 ML, Native</v>
      </c>
      <c r="F465" s="350"/>
      <c r="G465" s="353"/>
      <c r="H465" s="108"/>
      <c r="I465" s="362" t="s">
        <v>489</v>
      </c>
      <c r="J465" s="420">
        <v>1537681.2292532348</v>
      </c>
      <c r="K465" s="101"/>
      <c r="L465" s="356">
        <f t="shared" si="69"/>
        <v>0</v>
      </c>
      <c r="M465" s="453"/>
      <c r="N465" s="68"/>
      <c r="O465" s="362" t="s">
        <v>1275</v>
      </c>
      <c r="P465" s="362" t="s">
        <v>495</v>
      </c>
      <c r="Q465" s="339"/>
    </row>
    <row r="466" spans="1:17" s="336" customFormat="1" ht="22.5">
      <c r="A466" s="240"/>
      <c r="B466" s="319">
        <f t="shared" si="67"/>
        <v>0</v>
      </c>
      <c r="C466" s="2"/>
      <c r="D466" s="398" t="s">
        <v>1304</v>
      </c>
      <c r="E466" s="362" t="str">
        <f>Lists!C440</f>
        <v>Contaminated, Lined &gt; 2000 and &lt;= 3000 ML, Native</v>
      </c>
      <c r="F466" s="350"/>
      <c r="G466" s="353"/>
      <c r="H466" s="108"/>
      <c r="I466" s="362" t="s">
        <v>489</v>
      </c>
      <c r="J466" s="420">
        <v>2002077.6035863818</v>
      </c>
      <c r="K466" s="101"/>
      <c r="L466" s="356">
        <f t="shared" si="69"/>
        <v>0</v>
      </c>
      <c r="M466" s="453"/>
      <c r="N466" s="68"/>
      <c r="O466" s="362" t="s">
        <v>1275</v>
      </c>
      <c r="P466" s="362" t="s">
        <v>495</v>
      </c>
      <c r="Q466" s="339"/>
    </row>
    <row r="467" spans="1:17" s="336" customFormat="1" ht="22.5">
      <c r="A467" s="240"/>
      <c r="B467" s="319">
        <f t="shared" si="67"/>
        <v>0</v>
      </c>
      <c r="C467" s="2"/>
      <c r="D467" s="398" t="s">
        <v>1305</v>
      </c>
      <c r="E467" s="362" t="str">
        <f>Lists!C441</f>
        <v>Contaminated, Lined &gt; 3000 and &lt;= 4000 ML, Native</v>
      </c>
      <c r="F467" s="350"/>
      <c r="G467" s="353"/>
      <c r="H467" s="108"/>
      <c r="I467" s="362" t="s">
        <v>489</v>
      </c>
      <c r="J467" s="420">
        <v>2311659.1027884269</v>
      </c>
      <c r="K467" s="101"/>
      <c r="L467" s="356">
        <f t="shared" si="69"/>
        <v>0</v>
      </c>
      <c r="M467" s="453"/>
      <c r="N467" s="68"/>
      <c r="O467" s="362" t="s">
        <v>1275</v>
      </c>
      <c r="P467" s="362" t="s">
        <v>495</v>
      </c>
      <c r="Q467" s="339"/>
    </row>
    <row r="468" spans="1:17" s="336" customFormat="1" ht="22.5">
      <c r="A468" s="240"/>
      <c r="B468" s="319">
        <f t="shared" si="67"/>
        <v>0</v>
      </c>
      <c r="C468" s="2"/>
      <c r="D468" s="398" t="s">
        <v>1306</v>
      </c>
      <c r="E468" s="362" t="str">
        <f>Lists!C442</f>
        <v>Contaminated, Lined &gt; 4000 and &lt;= 5000 ML, Native</v>
      </c>
      <c r="F468" s="350"/>
      <c r="G468" s="353"/>
      <c r="H468" s="108"/>
      <c r="I468" s="362" t="s">
        <v>489</v>
      </c>
      <c r="J468" s="420">
        <v>2661438.7915850366</v>
      </c>
      <c r="K468" s="101"/>
      <c r="L468" s="356">
        <f t="shared" si="69"/>
        <v>0</v>
      </c>
      <c r="M468" s="453"/>
      <c r="N468" s="68"/>
      <c r="O468" s="362" t="s">
        <v>1275</v>
      </c>
      <c r="P468" s="362" t="s">
        <v>495</v>
      </c>
      <c r="Q468" s="339"/>
    </row>
    <row r="469" spans="1:17" s="336" customFormat="1" ht="90">
      <c r="A469" s="240"/>
      <c r="B469" s="319">
        <f t="shared" si="67"/>
        <v>0</v>
      </c>
      <c r="C469" s="2"/>
      <c r="D469" s="398" t="s">
        <v>1307</v>
      </c>
      <c r="E469" s="362" t="str">
        <f>Lists!C444</f>
        <v>Contaminated, Lined &gt; 1 and &lt;= 3.5 ML, Arid</v>
      </c>
      <c r="F469" s="350"/>
      <c r="G469" s="353"/>
      <c r="H469" s="108"/>
      <c r="I469" s="362" t="s">
        <v>489</v>
      </c>
      <c r="J469" s="420">
        <v>18980.127014215279</v>
      </c>
      <c r="K469" s="101"/>
      <c r="L469" s="356">
        <f t="shared" si="69"/>
        <v>0</v>
      </c>
      <c r="M469" s="453"/>
      <c r="N469" s="68"/>
      <c r="O469" s="362" t="s">
        <v>1275</v>
      </c>
      <c r="P469" s="362" t="s">
        <v>1308</v>
      </c>
      <c r="Q469" s="339"/>
    </row>
    <row r="470" spans="1:17" s="336" customFormat="1" ht="22.5">
      <c r="A470" s="240"/>
      <c r="B470" s="319">
        <f t="shared" si="67"/>
        <v>0</v>
      </c>
      <c r="C470" s="2"/>
      <c r="D470" s="398" t="s">
        <v>1309</v>
      </c>
      <c r="E470" s="362" t="str">
        <f>Lists!C445</f>
        <v>Contaminated, Lined &gt; 3.5 and &lt;= 7.5 ML, Arid</v>
      </c>
      <c r="F470" s="350"/>
      <c r="G470" s="353"/>
      <c r="H470" s="108"/>
      <c r="I470" s="362" t="s">
        <v>489</v>
      </c>
      <c r="J470" s="420">
        <v>34492.451593428566</v>
      </c>
      <c r="K470" s="101"/>
      <c r="L470" s="356">
        <f t="shared" si="69"/>
        <v>0</v>
      </c>
      <c r="M470" s="453"/>
      <c r="N470" s="68"/>
      <c r="O470" s="362" t="s">
        <v>1275</v>
      </c>
      <c r="P470" s="362" t="s">
        <v>495</v>
      </c>
      <c r="Q470" s="339"/>
    </row>
    <row r="471" spans="1:17" s="336" customFormat="1" ht="22.5">
      <c r="A471" s="240"/>
      <c r="B471" s="319">
        <f t="shared" si="67"/>
        <v>0</v>
      </c>
      <c r="C471" s="2"/>
      <c r="D471" s="398" t="s">
        <v>1310</v>
      </c>
      <c r="E471" s="362" t="str">
        <f>Lists!C446</f>
        <v>Contaminated, Lined &gt; 7.5 and &lt;= 10 ML, Arid</v>
      </c>
      <c r="F471" s="350"/>
      <c r="G471" s="353"/>
      <c r="H471" s="108"/>
      <c r="I471" s="362" t="s">
        <v>489</v>
      </c>
      <c r="J471" s="420">
        <v>44566.90275686956</v>
      </c>
      <c r="K471" s="101"/>
      <c r="L471" s="356">
        <f t="shared" si="69"/>
        <v>0</v>
      </c>
      <c r="M471" s="453"/>
      <c r="N471" s="68"/>
      <c r="O471" s="362" t="s">
        <v>1275</v>
      </c>
      <c r="P471" s="362" t="s">
        <v>495</v>
      </c>
      <c r="Q471" s="339"/>
    </row>
    <row r="472" spans="1:17" s="336" customFormat="1" ht="22.5">
      <c r="A472" s="240"/>
      <c r="B472" s="319">
        <f t="shared" si="67"/>
        <v>0</v>
      </c>
      <c r="C472" s="2"/>
      <c r="D472" s="398" t="s">
        <v>1311</v>
      </c>
      <c r="E472" s="362" t="str">
        <f>Lists!C447</f>
        <v>Contaminated, Lined &gt; 10 and &lt;= 20 ML, Arid</v>
      </c>
      <c r="F472" s="350"/>
      <c r="G472" s="353"/>
      <c r="H472" s="108"/>
      <c r="I472" s="362" t="s">
        <v>489</v>
      </c>
      <c r="J472" s="420">
        <v>77785.597780683092</v>
      </c>
      <c r="K472" s="101"/>
      <c r="L472" s="356">
        <f t="shared" si="69"/>
        <v>0</v>
      </c>
      <c r="M472" s="453"/>
      <c r="N472" s="68"/>
      <c r="O472" s="362" t="s">
        <v>1275</v>
      </c>
      <c r="P472" s="362" t="s">
        <v>495</v>
      </c>
      <c r="Q472" s="339"/>
    </row>
    <row r="473" spans="1:17" s="336" customFormat="1" ht="22.5">
      <c r="A473" s="240"/>
      <c r="B473" s="319">
        <f t="shared" si="67"/>
        <v>0</v>
      </c>
      <c r="C473" s="2"/>
      <c r="D473" s="398" t="s">
        <v>1312</v>
      </c>
      <c r="E473" s="362" t="str">
        <f>Lists!C448</f>
        <v>Contaminated, Lined &gt; 20 and &lt;= 50 ML, Arid</v>
      </c>
      <c r="F473" s="350"/>
      <c r="G473" s="353"/>
      <c r="H473" s="108"/>
      <c r="I473" s="362" t="s">
        <v>489</v>
      </c>
      <c r="J473" s="420">
        <v>115384.62903959118</v>
      </c>
      <c r="K473" s="101"/>
      <c r="L473" s="356">
        <f t="shared" si="69"/>
        <v>0</v>
      </c>
      <c r="M473" s="453"/>
      <c r="N473" s="68"/>
      <c r="O473" s="362" t="s">
        <v>1275</v>
      </c>
      <c r="P473" s="362" t="s">
        <v>495</v>
      </c>
      <c r="Q473" s="339"/>
    </row>
    <row r="474" spans="1:17" s="336" customFormat="1" ht="22.5">
      <c r="A474" s="240"/>
      <c r="B474" s="319">
        <f t="shared" si="67"/>
        <v>0</v>
      </c>
      <c r="C474" s="2"/>
      <c r="D474" s="398" t="s">
        <v>1313</v>
      </c>
      <c r="E474" s="362" t="str">
        <f>Lists!C449</f>
        <v>Contaminated, Lined &gt; 50 and &lt;= 100 ML, Arid</v>
      </c>
      <c r="F474" s="350"/>
      <c r="G474" s="353"/>
      <c r="H474" s="108"/>
      <c r="I474" s="362" t="s">
        <v>489</v>
      </c>
      <c r="J474" s="420">
        <v>160643.57133160875</v>
      </c>
      <c r="K474" s="101"/>
      <c r="L474" s="356">
        <f t="shared" si="69"/>
        <v>0</v>
      </c>
      <c r="M474" s="453"/>
      <c r="N474" s="68"/>
      <c r="O474" s="362" t="s">
        <v>1275</v>
      </c>
      <c r="P474" s="362" t="s">
        <v>495</v>
      </c>
      <c r="Q474" s="339"/>
    </row>
    <row r="475" spans="1:17" s="336" customFormat="1" ht="22.5">
      <c r="A475" s="240"/>
      <c r="B475" s="319">
        <f t="shared" si="67"/>
        <v>0</v>
      </c>
      <c r="C475" s="2"/>
      <c r="D475" s="398" t="s">
        <v>1314</v>
      </c>
      <c r="E475" s="362" t="str">
        <f>Lists!C450</f>
        <v>Contaminated, Lined &gt; 100 and &lt;= 200 ML, Arid</v>
      </c>
      <c r="F475" s="350"/>
      <c r="G475" s="353"/>
      <c r="H475" s="108"/>
      <c r="I475" s="362" t="s">
        <v>489</v>
      </c>
      <c r="J475" s="420">
        <v>245754.98687022255</v>
      </c>
      <c r="K475" s="101"/>
      <c r="L475" s="356">
        <f t="shared" si="69"/>
        <v>0</v>
      </c>
      <c r="M475" s="453"/>
      <c r="N475" s="68"/>
      <c r="O475" s="362" t="s">
        <v>1275</v>
      </c>
      <c r="P475" s="362" t="s">
        <v>495</v>
      </c>
      <c r="Q475" s="339"/>
    </row>
    <row r="476" spans="1:17" s="336" customFormat="1" ht="22.5">
      <c r="A476" s="240"/>
      <c r="B476" s="319">
        <f t="shared" si="67"/>
        <v>0</v>
      </c>
      <c r="C476" s="2"/>
      <c r="D476" s="398" t="s">
        <v>1315</v>
      </c>
      <c r="E476" s="362" t="str">
        <f>Lists!C451</f>
        <v>Contaminated, Lined &gt; 200 and &lt;= 300 ML, Arid</v>
      </c>
      <c r="F476" s="350"/>
      <c r="G476" s="353"/>
      <c r="H476" s="108"/>
      <c r="I476" s="362" t="s">
        <v>489</v>
      </c>
      <c r="J476" s="420">
        <v>375993.14315870212</v>
      </c>
      <c r="K476" s="101"/>
      <c r="L476" s="356">
        <f t="shared" si="69"/>
        <v>0</v>
      </c>
      <c r="M476" s="453"/>
      <c r="N476" s="68"/>
      <c r="O476" s="362" t="s">
        <v>1275</v>
      </c>
      <c r="P476" s="362" t="s">
        <v>495</v>
      </c>
      <c r="Q476" s="339"/>
    </row>
    <row r="477" spans="1:17" s="336" customFormat="1" ht="22.5">
      <c r="A477" s="240"/>
      <c r="B477" s="319">
        <f t="shared" si="67"/>
        <v>0</v>
      </c>
      <c r="C477" s="2"/>
      <c r="D477" s="398" t="s">
        <v>1316</v>
      </c>
      <c r="E477" s="362" t="str">
        <f>Lists!C452</f>
        <v>Contaminated, Lined &gt; 300 and &lt;= 500 ML, Arid</v>
      </c>
      <c r="F477" s="350"/>
      <c r="G477" s="353"/>
      <c r="H477" s="108"/>
      <c r="I477" s="362" t="s">
        <v>489</v>
      </c>
      <c r="J477" s="420">
        <v>512829.48489473329</v>
      </c>
      <c r="K477" s="101"/>
      <c r="L477" s="356">
        <f t="shared" si="69"/>
        <v>0</v>
      </c>
      <c r="M477" s="453"/>
      <c r="N477" s="68"/>
      <c r="O477" s="362" t="s">
        <v>1275</v>
      </c>
      <c r="P477" s="362" t="s">
        <v>495</v>
      </c>
      <c r="Q477" s="339"/>
    </row>
    <row r="478" spans="1:17" s="336" customFormat="1" ht="22.5">
      <c r="A478" s="240"/>
      <c r="B478" s="319">
        <f t="shared" si="67"/>
        <v>0</v>
      </c>
      <c r="C478" s="2"/>
      <c r="D478" s="398" t="s">
        <v>1317</v>
      </c>
      <c r="E478" s="362" t="str">
        <f>Lists!C453</f>
        <v>Contaminated, Lined &gt; 500 and &lt;= 1000 ML, Arid</v>
      </c>
      <c r="F478" s="350"/>
      <c r="G478" s="353"/>
      <c r="H478" s="108"/>
      <c r="I478" s="362" t="s">
        <v>489</v>
      </c>
      <c r="J478" s="420">
        <v>847538.5007828169</v>
      </c>
      <c r="K478" s="101"/>
      <c r="L478" s="356">
        <f t="shared" si="69"/>
        <v>0</v>
      </c>
      <c r="M478" s="453"/>
      <c r="N478" s="68"/>
      <c r="O478" s="362" t="s">
        <v>1275</v>
      </c>
      <c r="P478" s="362" t="s">
        <v>495</v>
      </c>
      <c r="Q478" s="339"/>
    </row>
    <row r="479" spans="1:17" s="336" customFormat="1" ht="22.5">
      <c r="A479" s="240"/>
      <c r="B479" s="319">
        <f t="shared" si="67"/>
        <v>0</v>
      </c>
      <c r="C479" s="2"/>
      <c r="D479" s="398" t="s">
        <v>1318</v>
      </c>
      <c r="E479" s="362" t="str">
        <f>Lists!C454</f>
        <v>Contaminated, Lined &gt; 1000 and &lt;= 2000 ML, Arid</v>
      </c>
      <c r="F479" s="350"/>
      <c r="G479" s="353"/>
      <c r="H479" s="108"/>
      <c r="I479" s="362" t="s">
        <v>489</v>
      </c>
      <c r="J479" s="420">
        <v>1259184.3688655549</v>
      </c>
      <c r="K479" s="101"/>
      <c r="L479" s="356">
        <f t="shared" si="69"/>
        <v>0</v>
      </c>
      <c r="M479" s="453"/>
      <c r="N479" s="68"/>
      <c r="O479" s="362" t="s">
        <v>1275</v>
      </c>
      <c r="P479" s="362" t="s">
        <v>495</v>
      </c>
      <c r="Q479" s="339"/>
    </row>
    <row r="480" spans="1:17" s="336" customFormat="1" ht="22.5">
      <c r="A480" s="240"/>
      <c r="B480" s="319">
        <f t="shared" si="67"/>
        <v>0</v>
      </c>
      <c r="C480" s="2"/>
      <c r="D480" s="398" t="s">
        <v>1319</v>
      </c>
      <c r="E480" s="362" t="str">
        <f>Lists!C455</f>
        <v>Contaminated, Lined &gt; 2000 and &lt;= 3000 ML, Arid</v>
      </c>
      <c r="F480" s="350"/>
      <c r="G480" s="353"/>
      <c r="H480" s="108"/>
      <c r="I480" s="362" t="s">
        <v>489</v>
      </c>
      <c r="J480" s="420">
        <v>1630748.4564028087</v>
      </c>
      <c r="K480" s="101"/>
      <c r="L480" s="356">
        <f t="shared" si="69"/>
        <v>0</v>
      </c>
      <c r="M480" s="453"/>
      <c r="N480" s="68"/>
      <c r="O480" s="362" t="s">
        <v>1275</v>
      </c>
      <c r="P480" s="362" t="s">
        <v>495</v>
      </c>
      <c r="Q480" s="339"/>
    </row>
    <row r="481" spans="1:17" s="336" customFormat="1" ht="22.5">
      <c r="A481" s="240"/>
      <c r="B481" s="319">
        <f t="shared" si="67"/>
        <v>0</v>
      </c>
      <c r="C481" s="2"/>
      <c r="D481" s="398" t="s">
        <v>1320</v>
      </c>
      <c r="E481" s="362" t="str">
        <f>Lists!C456</f>
        <v>Contaminated, Lined &gt; 3000 and &lt;= 4000 ML, Arid</v>
      </c>
      <c r="F481" s="350"/>
      <c r="G481" s="353"/>
      <c r="H481" s="108"/>
      <c r="I481" s="362" t="s">
        <v>489</v>
      </c>
      <c r="J481" s="420">
        <v>1889694.1628070939</v>
      </c>
      <c r="K481" s="101"/>
      <c r="L481" s="356">
        <f t="shared" si="69"/>
        <v>0</v>
      </c>
      <c r="M481" s="453"/>
      <c r="N481" s="68"/>
      <c r="O481" s="362" t="s">
        <v>1275</v>
      </c>
      <c r="P481" s="362" t="s">
        <v>495</v>
      </c>
      <c r="Q481" s="339"/>
    </row>
    <row r="482" spans="1:17" s="336" customFormat="1" ht="22.5">
      <c r="A482" s="240"/>
      <c r="B482" s="319">
        <f t="shared" si="67"/>
        <v>0</v>
      </c>
      <c r="C482" s="2"/>
      <c r="D482" s="398" t="s">
        <v>1321</v>
      </c>
      <c r="E482" s="362" t="str">
        <f>Lists!C457</f>
        <v>Contaminated, Lined &gt; 4000 and &lt;= 5000 ML, Arid</v>
      </c>
      <c r="F482" s="350"/>
      <c r="G482" s="353"/>
      <c r="H482" s="108"/>
      <c r="I482" s="362" t="s">
        <v>489</v>
      </c>
      <c r="J482" s="420">
        <v>2188838.0588059435</v>
      </c>
      <c r="K482" s="101"/>
      <c r="L482" s="356">
        <f t="shared" si="69"/>
        <v>0</v>
      </c>
      <c r="M482" s="453"/>
      <c r="N482" s="68"/>
      <c r="O482" s="362" t="s">
        <v>1275</v>
      </c>
      <c r="P482" s="362" t="s">
        <v>495</v>
      </c>
      <c r="Q482" s="339"/>
    </row>
    <row r="483" spans="1:17" s="336" customFormat="1" ht="90">
      <c r="A483" s="240"/>
      <c r="B483" s="319">
        <f t="shared" si="67"/>
        <v>0</v>
      </c>
      <c r="C483" s="2"/>
      <c r="D483" s="398" t="s">
        <v>1322</v>
      </c>
      <c r="E483" s="362" t="str">
        <f>Lists!C458</f>
        <v>Clean, Lined &gt; 0 and &lt;= 1 ML, Pasture</v>
      </c>
      <c r="F483" s="350"/>
      <c r="G483" s="353"/>
      <c r="H483" s="108"/>
      <c r="I483" s="362" t="s">
        <v>489</v>
      </c>
      <c r="J483" s="420">
        <v>7598.6958291160172</v>
      </c>
      <c r="K483" s="101"/>
      <c r="L483" s="356">
        <f t="shared" si="69"/>
        <v>0</v>
      </c>
      <c r="M483" s="453"/>
      <c r="N483" s="68"/>
      <c r="O483" s="362" t="s">
        <v>1275</v>
      </c>
      <c r="P483" s="362" t="s">
        <v>1323</v>
      </c>
      <c r="Q483" s="339"/>
    </row>
    <row r="484" spans="1:17" s="336" customFormat="1" ht="22.5">
      <c r="A484" s="240"/>
      <c r="B484" s="319">
        <f t="shared" si="67"/>
        <v>0</v>
      </c>
      <c r="C484" s="2"/>
      <c r="D484" s="398" t="s">
        <v>1324</v>
      </c>
      <c r="E484" s="362" t="str">
        <f>Lists!C459</f>
        <v>Clean, Lined &gt; 1 and &lt;= 3.5 ML, Pasture</v>
      </c>
      <c r="F484" s="350"/>
      <c r="G484" s="353"/>
      <c r="H484" s="108"/>
      <c r="I484" s="362" t="s">
        <v>489</v>
      </c>
      <c r="J484" s="420">
        <v>17046.988755904615</v>
      </c>
      <c r="K484" s="101"/>
      <c r="L484" s="356">
        <f t="shared" si="69"/>
        <v>0</v>
      </c>
      <c r="M484" s="453"/>
      <c r="N484" s="68"/>
      <c r="O484" s="362" t="s">
        <v>1275</v>
      </c>
      <c r="P484" s="362" t="s">
        <v>495</v>
      </c>
      <c r="Q484" s="339"/>
    </row>
    <row r="485" spans="1:17" s="336" customFormat="1" ht="22.5">
      <c r="A485" s="240"/>
      <c r="B485" s="319">
        <f t="shared" si="67"/>
        <v>0</v>
      </c>
      <c r="C485" s="2"/>
      <c r="D485" s="398" t="s">
        <v>1325</v>
      </c>
      <c r="E485" s="362" t="str">
        <f>Lists!C460</f>
        <v>Clean, Lined &gt; 3.5 and &lt;= 7.5 ML, Pasture</v>
      </c>
      <c r="F485" s="350"/>
      <c r="G485" s="353"/>
      <c r="H485" s="108"/>
      <c r="I485" s="362" t="s">
        <v>489</v>
      </c>
      <c r="J485" s="420">
        <v>31270.554496244127</v>
      </c>
      <c r="K485" s="101"/>
      <c r="L485" s="356">
        <f t="shared" si="69"/>
        <v>0</v>
      </c>
      <c r="M485" s="453"/>
      <c r="N485" s="68"/>
      <c r="O485" s="362" t="s">
        <v>1275</v>
      </c>
      <c r="P485" s="362" t="s">
        <v>495</v>
      </c>
      <c r="Q485" s="339"/>
    </row>
    <row r="486" spans="1:17" s="336" customFormat="1" ht="22.5">
      <c r="A486" s="240"/>
      <c r="B486" s="319">
        <f t="shared" si="67"/>
        <v>0</v>
      </c>
      <c r="C486" s="2"/>
      <c r="D486" s="398" t="s">
        <v>1326</v>
      </c>
      <c r="E486" s="362" t="str">
        <f>Lists!C461</f>
        <v>Clean, Lined &gt; 7.5 and &lt;= 10 ML, Pasture</v>
      </c>
      <c r="F486" s="350"/>
      <c r="G486" s="353"/>
      <c r="H486" s="108"/>
      <c r="I486" s="362" t="s">
        <v>489</v>
      </c>
      <c r="J486" s="420">
        <v>43246.305520024223</v>
      </c>
      <c r="K486" s="101"/>
      <c r="L486" s="356">
        <f t="shared" si="69"/>
        <v>0</v>
      </c>
      <c r="M486" s="453"/>
      <c r="N486" s="68"/>
      <c r="O486" s="362" t="s">
        <v>1275</v>
      </c>
      <c r="P486" s="362" t="s">
        <v>495</v>
      </c>
      <c r="Q486" s="339"/>
    </row>
    <row r="487" spans="1:17" s="336" customFormat="1" ht="22.5">
      <c r="A487" s="240"/>
      <c r="B487" s="319">
        <f t="shared" si="67"/>
        <v>0</v>
      </c>
      <c r="C487" s="2"/>
      <c r="D487" s="398" t="s">
        <v>1327</v>
      </c>
      <c r="E487" s="362" t="str">
        <f>Lists!C462</f>
        <v>Clean, Lined &gt; 10 and &lt;= 20 ML, Pasture</v>
      </c>
      <c r="F487" s="350"/>
      <c r="G487" s="353"/>
      <c r="H487" s="108"/>
      <c r="I487" s="362" t="s">
        <v>489</v>
      </c>
      <c r="J487" s="420">
        <v>75144.403306992433</v>
      </c>
      <c r="K487" s="101"/>
      <c r="L487" s="356">
        <f t="shared" si="69"/>
        <v>0</v>
      </c>
      <c r="M487" s="453"/>
      <c r="N487" s="68"/>
      <c r="O487" s="362" t="s">
        <v>1275</v>
      </c>
      <c r="P487" s="362" t="s">
        <v>495</v>
      </c>
      <c r="Q487" s="339"/>
    </row>
    <row r="488" spans="1:17" s="336" customFormat="1" ht="22.5">
      <c r="A488" s="240"/>
      <c r="B488" s="319">
        <f t="shared" si="67"/>
        <v>0</v>
      </c>
      <c r="C488" s="2"/>
      <c r="D488" s="398" t="s">
        <v>1328</v>
      </c>
      <c r="E488" s="362" t="str">
        <f>Lists!C463</f>
        <v>Clean, Lined &gt; 20 and &lt;= 50 ML, Pasture</v>
      </c>
      <c r="F488" s="350"/>
      <c r="G488" s="353"/>
      <c r="H488" s="108"/>
      <c r="I488" s="362" t="s">
        <v>489</v>
      </c>
      <c r="J488" s="420">
        <v>111202.73778958098</v>
      </c>
      <c r="K488" s="101"/>
      <c r="L488" s="356">
        <f t="shared" si="69"/>
        <v>0</v>
      </c>
      <c r="M488" s="453"/>
      <c r="N488" s="68"/>
      <c r="O488" s="362" t="s">
        <v>1275</v>
      </c>
      <c r="P488" s="362" t="s">
        <v>495</v>
      </c>
      <c r="Q488" s="339"/>
    </row>
    <row r="489" spans="1:17" s="336" customFormat="1" ht="22.5">
      <c r="A489" s="240"/>
      <c r="B489" s="319">
        <f t="shared" si="67"/>
        <v>0</v>
      </c>
      <c r="C489" s="2"/>
      <c r="D489" s="398" t="s">
        <v>1329</v>
      </c>
      <c r="E489" s="362" t="str">
        <f>Lists!C464</f>
        <v>Clean, Lined &gt; 50 and &lt;= 100 ML, Pasture</v>
      </c>
      <c r="F489" s="350"/>
      <c r="G489" s="353"/>
      <c r="H489" s="108"/>
      <c r="I489" s="362" t="s">
        <v>489</v>
      </c>
      <c r="J489" s="420">
        <v>154700.88376580476</v>
      </c>
      <c r="K489" s="101"/>
      <c r="L489" s="356">
        <f t="shared" si="69"/>
        <v>0</v>
      </c>
      <c r="M489" s="453"/>
      <c r="N489" s="68"/>
      <c r="O489" s="362" t="s">
        <v>1275</v>
      </c>
      <c r="P489" s="362" t="s">
        <v>495</v>
      </c>
      <c r="Q489" s="339"/>
    </row>
    <row r="490" spans="1:17" s="336" customFormat="1" ht="22.5">
      <c r="A490" s="240"/>
      <c r="B490" s="319">
        <f t="shared" si="67"/>
        <v>0</v>
      </c>
      <c r="C490" s="2"/>
      <c r="D490" s="398" t="s">
        <v>1330</v>
      </c>
      <c r="E490" s="362" t="str">
        <f>Lists!C465</f>
        <v>Clean, Lined &gt; 100 and &lt;= 200 ML, Pasture</v>
      </c>
      <c r="F490" s="350"/>
      <c r="G490" s="353"/>
      <c r="H490" s="108"/>
      <c r="I490" s="362" t="s">
        <v>489</v>
      </c>
      <c r="J490" s="420">
        <v>238870.26765078143</v>
      </c>
      <c r="K490" s="101"/>
      <c r="L490" s="356">
        <f t="shared" si="69"/>
        <v>0</v>
      </c>
      <c r="M490" s="453"/>
      <c r="N490" s="68"/>
      <c r="O490" s="362" t="s">
        <v>1275</v>
      </c>
      <c r="P490" s="362" t="s">
        <v>495</v>
      </c>
      <c r="Q490" s="339"/>
    </row>
    <row r="491" spans="1:17" s="336" customFormat="1" ht="22.5">
      <c r="A491" s="240"/>
      <c r="B491" s="319">
        <f t="shared" si="67"/>
        <v>0</v>
      </c>
      <c r="C491" s="2"/>
      <c r="D491" s="398" t="s">
        <v>1331</v>
      </c>
      <c r="E491" s="362" t="str">
        <f>Lists!C466</f>
        <v>Clean, Lined &gt; 200 and &lt;= 300 ML, Pasture</v>
      </c>
      <c r="F491" s="350"/>
      <c r="G491" s="353"/>
      <c r="H491" s="108"/>
      <c r="I491" s="362" t="s">
        <v>489</v>
      </c>
      <c r="J491" s="420">
        <v>365283.57992846036</v>
      </c>
      <c r="K491" s="101"/>
      <c r="L491" s="356">
        <f t="shared" si="69"/>
        <v>0</v>
      </c>
      <c r="M491" s="453"/>
      <c r="N491" s="68"/>
      <c r="O491" s="362" t="s">
        <v>1275</v>
      </c>
      <c r="P491" s="362" t="s">
        <v>495</v>
      </c>
      <c r="Q491" s="339"/>
    </row>
    <row r="492" spans="1:17" s="336" customFormat="1" ht="22.5">
      <c r="A492" s="240"/>
      <c r="B492" s="319">
        <f t="shared" si="67"/>
        <v>0</v>
      </c>
      <c r="C492" s="2"/>
      <c r="D492" s="398" t="s">
        <v>1332</v>
      </c>
      <c r="E492" s="362" t="str">
        <f>Lists!C467</f>
        <v>Clean, Lined &gt; 300 and &lt;= 500 ML, Pasture</v>
      </c>
      <c r="F492" s="350"/>
      <c r="G492" s="353"/>
      <c r="H492" s="108"/>
      <c r="I492" s="362" t="s">
        <v>489</v>
      </c>
      <c r="J492" s="420">
        <v>497071.12757023476</v>
      </c>
      <c r="K492" s="101"/>
      <c r="L492" s="356">
        <f t="shared" si="69"/>
        <v>0</v>
      </c>
      <c r="M492" s="453"/>
      <c r="N492" s="68"/>
      <c r="O492" s="362" t="s">
        <v>1275</v>
      </c>
      <c r="P492" s="362" t="s">
        <v>495</v>
      </c>
      <c r="Q492" s="339"/>
    </row>
    <row r="493" spans="1:17" s="336" customFormat="1" ht="22.5">
      <c r="A493" s="240"/>
      <c r="B493" s="319">
        <f t="shared" si="67"/>
        <v>0</v>
      </c>
      <c r="C493" s="2"/>
      <c r="D493" s="398" t="s">
        <v>1333</v>
      </c>
      <c r="E493" s="362" t="str">
        <f>Lists!C468</f>
        <v>Clean, Lined &gt; 500 and &lt;= 1000 ML, Pasture</v>
      </c>
      <c r="F493" s="350"/>
      <c r="G493" s="353"/>
      <c r="H493" s="108"/>
      <c r="I493" s="362" t="s">
        <v>489</v>
      </c>
      <c r="J493" s="420">
        <v>819234.65510289231</v>
      </c>
      <c r="K493" s="101"/>
      <c r="L493" s="356">
        <f t="shared" si="69"/>
        <v>0</v>
      </c>
      <c r="M493" s="453"/>
      <c r="N493" s="68"/>
      <c r="O493" s="362" t="s">
        <v>1275</v>
      </c>
      <c r="P493" s="362" t="s">
        <v>495</v>
      </c>
      <c r="Q493" s="339"/>
    </row>
    <row r="494" spans="1:17" s="336" customFormat="1" ht="22.5">
      <c r="A494" s="240"/>
      <c r="B494" s="319">
        <f t="shared" si="67"/>
        <v>0</v>
      </c>
      <c r="C494" s="2"/>
      <c r="D494" s="398" t="s">
        <v>1334</v>
      </c>
      <c r="E494" s="362" t="str">
        <f>Lists!C469</f>
        <v>Clean, Lined &gt; 1000 and &lt;= 2000 ML, Pasture</v>
      </c>
      <c r="F494" s="350"/>
      <c r="G494" s="353"/>
      <c r="H494" s="108"/>
      <c r="I494" s="362" t="s">
        <v>489</v>
      </c>
      <c r="J494" s="420">
        <v>1297850.0874265921</v>
      </c>
      <c r="K494" s="101"/>
      <c r="L494" s="356">
        <f t="shared" si="69"/>
        <v>0</v>
      </c>
      <c r="M494" s="453"/>
      <c r="N494" s="68"/>
      <c r="O494" s="362" t="s">
        <v>1275</v>
      </c>
      <c r="P494" s="362" t="s">
        <v>495</v>
      </c>
      <c r="Q494" s="339"/>
    </row>
    <row r="495" spans="1:17" s="336" customFormat="1" ht="22.5">
      <c r="A495" s="240"/>
      <c r="B495" s="319">
        <f t="shared" si="67"/>
        <v>0</v>
      </c>
      <c r="C495" s="2"/>
      <c r="D495" s="398" t="s">
        <v>1335</v>
      </c>
      <c r="E495" s="362" t="str">
        <f>Lists!C470</f>
        <v>Clean, Lined &gt; 2000 and &lt;= 3000 ML, Pasture</v>
      </c>
      <c r="F495" s="350"/>
      <c r="G495" s="353"/>
      <c r="H495" s="108"/>
      <c r="I495" s="362" t="s">
        <v>489</v>
      </c>
      <c r="J495" s="420">
        <v>1682302.7478175247</v>
      </c>
      <c r="K495" s="101"/>
      <c r="L495" s="356">
        <f t="shared" si="69"/>
        <v>0</v>
      </c>
      <c r="M495" s="453"/>
      <c r="N495" s="68"/>
      <c r="O495" s="362" t="s">
        <v>1275</v>
      </c>
      <c r="P495" s="362" t="s">
        <v>495</v>
      </c>
      <c r="Q495" s="339"/>
    </row>
    <row r="496" spans="1:17" s="336" customFormat="1" ht="22.5">
      <c r="A496" s="240"/>
      <c r="B496" s="319">
        <f t="shared" si="67"/>
        <v>0</v>
      </c>
      <c r="C496" s="2"/>
      <c r="D496" s="398" t="s">
        <v>1336</v>
      </c>
      <c r="E496" s="362" t="str">
        <f>Lists!C471</f>
        <v>Clean, Lined &gt; 3000 and &lt;= 4000 ML, Pasture</v>
      </c>
      <c r="F496" s="350"/>
      <c r="G496" s="353"/>
      <c r="H496" s="108"/>
      <c r="I496" s="362" t="s">
        <v>489</v>
      </c>
      <c r="J496" s="420">
        <v>1948278.5848692716</v>
      </c>
      <c r="K496" s="101"/>
      <c r="L496" s="356">
        <f t="shared" si="69"/>
        <v>0</v>
      </c>
      <c r="M496" s="453"/>
      <c r="N496" s="68"/>
      <c r="O496" s="362" t="s">
        <v>1275</v>
      </c>
      <c r="P496" s="362" t="s">
        <v>495</v>
      </c>
      <c r="Q496" s="339"/>
    </row>
    <row r="497" spans="1:17" s="336" customFormat="1" ht="22.5">
      <c r="A497" s="240"/>
      <c r="B497" s="319">
        <f t="shared" si="67"/>
        <v>0</v>
      </c>
      <c r="C497" s="2"/>
      <c r="D497" s="398" t="s">
        <v>1337</v>
      </c>
      <c r="E497" s="362" t="str">
        <f>Lists!C472</f>
        <v>Clean, Lined &gt; 4000 and &lt;= 5000 ML, Pasture</v>
      </c>
      <c r="F497" s="350"/>
      <c r="G497" s="353"/>
      <c r="H497" s="108"/>
      <c r="I497" s="362" t="s">
        <v>489</v>
      </c>
      <c r="J497" s="420">
        <v>2254452.6115155825</v>
      </c>
      <c r="K497" s="101"/>
      <c r="L497" s="356">
        <f t="shared" si="69"/>
        <v>0</v>
      </c>
      <c r="M497" s="453"/>
      <c r="N497" s="68"/>
      <c r="O497" s="362" t="s">
        <v>1275</v>
      </c>
      <c r="P497" s="362" t="s">
        <v>495</v>
      </c>
      <c r="Q497" s="339"/>
    </row>
    <row r="498" spans="1:17" s="336" customFormat="1" ht="90">
      <c r="A498" s="240"/>
      <c r="B498" s="319">
        <f t="shared" si="67"/>
        <v>0</v>
      </c>
      <c r="C498" s="2"/>
      <c r="D498" s="398" t="s">
        <v>1338</v>
      </c>
      <c r="E498" s="362" t="str">
        <f>Lists!C473</f>
        <v>Clean, Lined &gt; 0 and &lt;= 1 ML, Native</v>
      </c>
      <c r="F498" s="350"/>
      <c r="G498" s="353"/>
      <c r="H498" s="108"/>
      <c r="I498" s="362" t="s">
        <v>489</v>
      </c>
      <c r="J498" s="420">
        <v>7852.7958291160176</v>
      </c>
      <c r="K498" s="101"/>
      <c r="L498" s="356">
        <f t="shared" si="69"/>
        <v>0</v>
      </c>
      <c r="M498" s="453"/>
      <c r="N498" s="68"/>
      <c r="O498" s="362" t="s">
        <v>1275</v>
      </c>
      <c r="P498" s="362" t="s">
        <v>1339</v>
      </c>
      <c r="Q498" s="339"/>
    </row>
    <row r="499" spans="1:17" s="336" customFormat="1" ht="22.5">
      <c r="A499" s="240"/>
      <c r="B499" s="319">
        <f t="shared" si="67"/>
        <v>0</v>
      </c>
      <c r="C499" s="2"/>
      <c r="D499" s="398" t="s">
        <v>1340</v>
      </c>
      <c r="E499" s="362" t="str">
        <f>Lists!C475</f>
        <v>Clean, Lined &gt; 3.5 and &lt;= 7.5 ML, Native</v>
      </c>
      <c r="F499" s="350"/>
      <c r="G499" s="353"/>
      <c r="H499" s="108"/>
      <c r="I499" s="362" t="s">
        <v>489</v>
      </c>
      <c r="J499" s="420">
        <v>32541.054496244127</v>
      </c>
      <c r="K499" s="101"/>
      <c r="L499" s="356">
        <f t="shared" si="69"/>
        <v>0</v>
      </c>
      <c r="M499" s="453"/>
      <c r="N499" s="68"/>
      <c r="O499" s="362" t="s">
        <v>1275</v>
      </c>
      <c r="P499" s="362" t="s">
        <v>495</v>
      </c>
      <c r="Q499" s="339"/>
    </row>
    <row r="500" spans="1:17" s="336" customFormat="1" ht="22.5">
      <c r="A500" s="240"/>
      <c r="B500" s="319">
        <f t="shared" si="67"/>
        <v>0</v>
      </c>
      <c r="C500" s="2"/>
      <c r="D500" s="398" t="s">
        <v>1341</v>
      </c>
      <c r="E500" s="362" t="str">
        <f>Lists!C476</f>
        <v>Clean, Lined &gt; 7.5 and &lt;= 10 ML, Native</v>
      </c>
      <c r="F500" s="350"/>
      <c r="G500" s="353"/>
      <c r="H500" s="108"/>
      <c r="I500" s="362" t="s">
        <v>489</v>
      </c>
      <c r="J500" s="420">
        <v>44770.905520024229</v>
      </c>
      <c r="K500" s="101"/>
      <c r="L500" s="356">
        <f t="shared" si="69"/>
        <v>0</v>
      </c>
      <c r="M500" s="453"/>
      <c r="N500" s="68"/>
      <c r="O500" s="362" t="s">
        <v>1275</v>
      </c>
      <c r="P500" s="362" t="s">
        <v>495</v>
      </c>
      <c r="Q500" s="339"/>
    </row>
    <row r="501" spans="1:17" s="336" customFormat="1" ht="22.5">
      <c r="A501" s="240"/>
      <c r="B501" s="319">
        <f t="shared" si="67"/>
        <v>0</v>
      </c>
      <c r="C501" s="2"/>
      <c r="D501" s="398" t="s">
        <v>1342</v>
      </c>
      <c r="E501" s="362" t="str">
        <f>Lists!C477</f>
        <v>Clean, Lined &gt; 10 and &lt;= 20 ML, Native</v>
      </c>
      <c r="F501" s="350"/>
      <c r="G501" s="353"/>
      <c r="H501" s="108"/>
      <c r="I501" s="362" t="s">
        <v>489</v>
      </c>
      <c r="J501" s="420">
        <v>78193.603306992445</v>
      </c>
      <c r="K501" s="101"/>
      <c r="L501" s="356">
        <f t="shared" si="69"/>
        <v>0</v>
      </c>
      <c r="M501" s="453"/>
      <c r="N501" s="68"/>
      <c r="O501" s="362" t="s">
        <v>1275</v>
      </c>
      <c r="P501" s="362" t="s">
        <v>495</v>
      </c>
      <c r="Q501" s="339"/>
    </row>
    <row r="502" spans="1:17" s="336" customFormat="1" ht="22.5">
      <c r="A502" s="240"/>
      <c r="B502" s="319">
        <f t="shared" ref="B502:B565" si="70">IF(L502&gt;0,1,0)</f>
        <v>0</v>
      </c>
      <c r="C502" s="2"/>
      <c r="D502" s="398" t="s">
        <v>1343</v>
      </c>
      <c r="E502" s="362" t="str">
        <f>Lists!C478</f>
        <v>Clean, Lined &gt; 20 and &lt;= 50 ML, Native</v>
      </c>
      <c r="F502" s="350"/>
      <c r="G502" s="353"/>
      <c r="H502" s="108"/>
      <c r="I502" s="362" t="s">
        <v>489</v>
      </c>
      <c r="J502" s="420">
        <v>116030.63778958099</v>
      </c>
      <c r="K502" s="101"/>
      <c r="L502" s="356">
        <f t="shared" si="69"/>
        <v>0</v>
      </c>
      <c r="M502" s="453"/>
      <c r="N502" s="68"/>
      <c r="O502" s="362" t="s">
        <v>1275</v>
      </c>
      <c r="P502" s="362" t="s">
        <v>495</v>
      </c>
      <c r="Q502" s="339"/>
    </row>
    <row r="503" spans="1:17" s="336" customFormat="1" ht="22.5">
      <c r="A503" s="240"/>
      <c r="B503" s="319">
        <f t="shared" si="70"/>
        <v>0</v>
      </c>
      <c r="C503" s="2"/>
      <c r="D503" s="398" t="s">
        <v>1344</v>
      </c>
      <c r="E503" s="362" t="str">
        <f>Lists!C479</f>
        <v>Clean, Lined &gt; 50 and &lt;= 100 ML, Native</v>
      </c>
      <c r="F503" s="350"/>
      <c r="G503" s="353"/>
      <c r="H503" s="108"/>
      <c r="I503" s="362" t="s">
        <v>489</v>
      </c>
      <c r="J503" s="420">
        <v>161561.58376580474</v>
      </c>
      <c r="K503" s="101"/>
      <c r="L503" s="356">
        <f t="shared" si="69"/>
        <v>0</v>
      </c>
      <c r="M503" s="453"/>
      <c r="N503" s="68"/>
      <c r="O503" s="362" t="s">
        <v>1275</v>
      </c>
      <c r="P503" s="362" t="s">
        <v>495</v>
      </c>
      <c r="Q503" s="339"/>
    </row>
    <row r="504" spans="1:17" s="336" customFormat="1" ht="22.5">
      <c r="A504" s="240"/>
      <c r="B504" s="319">
        <f t="shared" si="70"/>
        <v>0</v>
      </c>
      <c r="C504" s="2"/>
      <c r="D504" s="398" t="s">
        <v>1345</v>
      </c>
      <c r="E504" s="362" t="str">
        <f>Lists!C480</f>
        <v>Clean, Lined &gt; 100 and &lt;= 200 ML, Native</v>
      </c>
      <c r="F504" s="350"/>
      <c r="G504" s="353"/>
      <c r="H504" s="108"/>
      <c r="I504" s="362" t="s">
        <v>489</v>
      </c>
      <c r="J504" s="420">
        <v>250304.76765078143</v>
      </c>
      <c r="K504" s="101"/>
      <c r="L504" s="356">
        <f t="shared" si="69"/>
        <v>0</v>
      </c>
      <c r="M504" s="453"/>
      <c r="N504" s="68"/>
      <c r="O504" s="362" t="s">
        <v>1275</v>
      </c>
      <c r="P504" s="362" t="s">
        <v>495</v>
      </c>
      <c r="Q504" s="339"/>
    </row>
    <row r="505" spans="1:17" s="336" customFormat="1" ht="22.5">
      <c r="A505" s="240"/>
      <c r="B505" s="319">
        <f t="shared" si="70"/>
        <v>0</v>
      </c>
      <c r="C505" s="2"/>
      <c r="D505" s="398" t="s">
        <v>1346</v>
      </c>
      <c r="E505" s="362" t="str">
        <f>Lists!C481</f>
        <v>Clean, Lined &gt; 200 and &lt;= 300 ML, Native</v>
      </c>
      <c r="F505" s="350"/>
      <c r="G505" s="353"/>
      <c r="H505" s="108"/>
      <c r="I505" s="362" t="s">
        <v>489</v>
      </c>
      <c r="J505" s="420">
        <v>383070.57992846036</v>
      </c>
      <c r="K505" s="101"/>
      <c r="L505" s="356">
        <f t="shared" si="69"/>
        <v>0</v>
      </c>
      <c r="M505" s="453"/>
      <c r="N505" s="68"/>
      <c r="O505" s="362" t="s">
        <v>1275</v>
      </c>
      <c r="P505" s="362" t="s">
        <v>495</v>
      </c>
      <c r="Q505" s="339"/>
    </row>
    <row r="506" spans="1:17" s="336" customFormat="1" ht="22.5">
      <c r="A506" s="240"/>
      <c r="B506" s="319">
        <f t="shared" si="70"/>
        <v>0</v>
      </c>
      <c r="C506" s="2"/>
      <c r="D506" s="398" t="s">
        <v>1347</v>
      </c>
      <c r="E506" s="362" t="str">
        <f>Lists!C482</f>
        <v>Clean, Lined &gt; 300 and &lt;= 500 ML, Native</v>
      </c>
      <c r="F506" s="350"/>
      <c r="G506" s="353"/>
      <c r="H506" s="108"/>
      <c r="I506" s="362" t="s">
        <v>489</v>
      </c>
      <c r="J506" s="420">
        <v>523243.42757023475</v>
      </c>
      <c r="K506" s="101"/>
      <c r="L506" s="356">
        <f t="shared" si="69"/>
        <v>0</v>
      </c>
      <c r="M506" s="453"/>
      <c r="N506" s="68"/>
      <c r="O506" s="362" t="s">
        <v>1275</v>
      </c>
      <c r="P506" s="362" t="s">
        <v>495</v>
      </c>
      <c r="Q506" s="339"/>
    </row>
    <row r="507" spans="1:17" s="336" customFormat="1" ht="22.5">
      <c r="A507" s="240"/>
      <c r="B507" s="319">
        <f t="shared" si="70"/>
        <v>0</v>
      </c>
      <c r="C507" s="2"/>
      <c r="D507" s="398" t="s">
        <v>1348</v>
      </c>
      <c r="E507" s="362" t="str">
        <f>Lists!C483</f>
        <v>Clean, Lined &gt; 500 and &lt;= 1000 ML, Native</v>
      </c>
      <c r="F507" s="350"/>
      <c r="G507" s="353"/>
      <c r="H507" s="108"/>
      <c r="I507" s="362" t="s">
        <v>489</v>
      </c>
      <c r="J507" s="420">
        <v>866243.15510289231</v>
      </c>
      <c r="K507" s="101"/>
      <c r="L507" s="356">
        <f t="shared" si="69"/>
        <v>0</v>
      </c>
      <c r="M507" s="453"/>
      <c r="N507" s="68"/>
      <c r="O507" s="362" t="s">
        <v>1275</v>
      </c>
      <c r="P507" s="362" t="s">
        <v>495</v>
      </c>
      <c r="Q507" s="339"/>
    </row>
    <row r="508" spans="1:17" s="336" customFormat="1" ht="22.5">
      <c r="A508" s="240"/>
      <c r="B508" s="319">
        <f t="shared" si="70"/>
        <v>0</v>
      </c>
      <c r="C508" s="2"/>
      <c r="D508" s="398" t="s">
        <v>1349</v>
      </c>
      <c r="E508" s="362" t="str">
        <f>Lists!C484</f>
        <v>Clean, Lined &gt; 1000 and &lt;= 2000 ML, Native</v>
      </c>
      <c r="F508" s="350"/>
      <c r="G508" s="353"/>
      <c r="H508" s="108"/>
      <c r="I508" s="362" t="s">
        <v>489</v>
      </c>
      <c r="J508" s="420">
        <v>1381703.0874265921</v>
      </c>
      <c r="K508" s="101"/>
      <c r="L508" s="356">
        <f t="shared" si="69"/>
        <v>0</v>
      </c>
      <c r="M508" s="453"/>
      <c r="N508" s="68"/>
      <c r="O508" s="362" t="s">
        <v>1275</v>
      </c>
      <c r="P508" s="362" t="s">
        <v>495</v>
      </c>
      <c r="Q508" s="339"/>
    </row>
    <row r="509" spans="1:17" s="336" customFormat="1" ht="22.5">
      <c r="A509" s="240"/>
      <c r="B509" s="319">
        <f t="shared" si="70"/>
        <v>0</v>
      </c>
      <c r="C509" s="2"/>
      <c r="D509" s="398" t="s">
        <v>1350</v>
      </c>
      <c r="E509" s="362" t="str">
        <f>Lists!C485</f>
        <v>Clean, Lined &gt; 2000 and &lt;= 3000 ML, Native</v>
      </c>
      <c r="F509" s="350"/>
      <c r="G509" s="353"/>
      <c r="H509" s="108"/>
      <c r="I509" s="362" t="s">
        <v>489</v>
      </c>
      <c r="J509" s="420">
        <v>1794106.7478175247</v>
      </c>
      <c r="K509" s="101"/>
      <c r="L509" s="356">
        <f t="shared" si="69"/>
        <v>0</v>
      </c>
      <c r="M509" s="453"/>
      <c r="N509" s="68"/>
      <c r="O509" s="362" t="s">
        <v>1275</v>
      </c>
      <c r="P509" s="362" t="s">
        <v>495</v>
      </c>
      <c r="Q509" s="339"/>
    </row>
    <row r="510" spans="1:17" s="336" customFormat="1" ht="22.5">
      <c r="A510" s="240"/>
      <c r="B510" s="319">
        <f t="shared" si="70"/>
        <v>0</v>
      </c>
      <c r="C510" s="2"/>
      <c r="D510" s="398" t="s">
        <v>1351</v>
      </c>
      <c r="E510" s="362" t="str">
        <f>Lists!C486</f>
        <v>Clean, Lined &gt; 3000 and &lt;= 4000 ML, Native</v>
      </c>
      <c r="F510" s="350"/>
      <c r="G510" s="353"/>
      <c r="H510" s="108"/>
      <c r="I510" s="362" t="s">
        <v>489</v>
      </c>
      <c r="J510" s="420">
        <v>2075328.5848692716</v>
      </c>
      <c r="K510" s="101"/>
      <c r="L510" s="356">
        <f t="shared" si="69"/>
        <v>0</v>
      </c>
      <c r="M510" s="453"/>
      <c r="N510" s="68"/>
      <c r="O510" s="362" t="s">
        <v>1275</v>
      </c>
      <c r="P510" s="362" t="s">
        <v>495</v>
      </c>
      <c r="Q510" s="339"/>
    </row>
    <row r="511" spans="1:17" s="336" customFormat="1" ht="22.5">
      <c r="A511" s="240"/>
      <c r="B511" s="319">
        <f t="shared" si="70"/>
        <v>0</v>
      </c>
      <c r="C511" s="2"/>
      <c r="D511" s="398" t="s">
        <v>1352</v>
      </c>
      <c r="E511" s="362" t="str">
        <f>Lists!C487</f>
        <v>Clean, Lined &gt; 4000 and &lt;= 5000 ML, Native</v>
      </c>
      <c r="F511" s="350"/>
      <c r="G511" s="353"/>
      <c r="H511" s="108"/>
      <c r="I511" s="362" t="s">
        <v>489</v>
      </c>
      <c r="J511" s="420">
        <v>2396748.6115155825</v>
      </c>
      <c r="K511" s="101"/>
      <c r="L511" s="356">
        <f t="shared" si="69"/>
        <v>0</v>
      </c>
      <c r="M511" s="453"/>
      <c r="N511" s="68"/>
      <c r="O511" s="362" t="s">
        <v>1275</v>
      </c>
      <c r="P511" s="362" t="s">
        <v>495</v>
      </c>
      <c r="Q511" s="339"/>
    </row>
    <row r="512" spans="1:17" s="336" customFormat="1" ht="90">
      <c r="A512" s="240"/>
      <c r="B512" s="319">
        <f t="shared" si="70"/>
        <v>0</v>
      </c>
      <c r="C512" s="2"/>
      <c r="D512" s="398" t="s">
        <v>1353</v>
      </c>
      <c r="E512" s="362" t="str">
        <f>Lists!C488</f>
        <v>Clean, Lined &gt; 0 and &lt;= 1 ML, Arid</v>
      </c>
      <c r="F512" s="350"/>
      <c r="G512" s="353"/>
      <c r="H512" s="108"/>
      <c r="I512" s="362" t="s">
        <v>489</v>
      </c>
      <c r="J512" s="420">
        <v>7433.145829116017</v>
      </c>
      <c r="K512" s="101"/>
      <c r="L512" s="356">
        <f t="shared" si="69"/>
        <v>0</v>
      </c>
      <c r="M512" s="453"/>
      <c r="N512" s="68"/>
      <c r="O512" s="362" t="s">
        <v>1275</v>
      </c>
      <c r="P512" s="362" t="s">
        <v>1354</v>
      </c>
      <c r="Q512" s="339"/>
    </row>
    <row r="513" spans="1:17" s="336" customFormat="1" ht="22.5">
      <c r="A513" s="240"/>
      <c r="B513" s="319">
        <f t="shared" si="70"/>
        <v>0</v>
      </c>
      <c r="C513" s="2"/>
      <c r="D513" s="398" t="s">
        <v>1355</v>
      </c>
      <c r="E513" s="362" t="str">
        <f>Lists!C489</f>
        <v>Clean, Lined &gt; 1 and &lt;= 3.5 ML, Arid</v>
      </c>
      <c r="F513" s="350"/>
      <c r="G513" s="353"/>
      <c r="H513" s="108"/>
      <c r="I513" s="362" t="s">
        <v>489</v>
      </c>
      <c r="J513" s="420">
        <v>16550.338755904617</v>
      </c>
      <c r="K513" s="101"/>
      <c r="L513" s="356">
        <f t="shared" si="69"/>
        <v>0</v>
      </c>
      <c r="M513" s="453"/>
      <c r="N513" s="68"/>
      <c r="O513" s="362" t="s">
        <v>1275</v>
      </c>
      <c r="P513" s="362" t="s">
        <v>495</v>
      </c>
      <c r="Q513" s="339"/>
    </row>
    <row r="514" spans="1:17" s="336" customFormat="1" ht="22.5">
      <c r="A514" s="240"/>
      <c r="B514" s="319">
        <f t="shared" si="70"/>
        <v>0</v>
      </c>
      <c r="C514" s="2"/>
      <c r="D514" s="398" t="s">
        <v>1356</v>
      </c>
      <c r="E514" s="362" t="str">
        <f>Lists!C490</f>
        <v>Clean, Lined &gt; 3.5 and &lt;= 7.5 ML, Arid</v>
      </c>
      <c r="F514" s="350"/>
      <c r="G514" s="353"/>
      <c r="H514" s="108"/>
      <c r="I514" s="362" t="s">
        <v>489</v>
      </c>
      <c r="J514" s="420">
        <v>30442.804496244127</v>
      </c>
      <c r="K514" s="101"/>
      <c r="L514" s="356">
        <f t="shared" si="69"/>
        <v>0</v>
      </c>
      <c r="M514" s="453"/>
      <c r="N514" s="68"/>
      <c r="O514" s="362" t="s">
        <v>1275</v>
      </c>
      <c r="P514" s="362" t="s">
        <v>495</v>
      </c>
      <c r="Q514" s="339"/>
    </row>
    <row r="515" spans="1:17" s="336" customFormat="1" ht="22.5">
      <c r="A515" s="240"/>
      <c r="B515" s="319">
        <f t="shared" si="70"/>
        <v>0</v>
      </c>
      <c r="C515" s="2"/>
      <c r="D515" s="398" t="s">
        <v>1357</v>
      </c>
      <c r="E515" s="362" t="str">
        <f>Lists!C491</f>
        <v>Clean, Lined &gt; 7.5 and &lt;= 10 ML, Arid</v>
      </c>
      <c r="F515" s="350"/>
      <c r="G515" s="353"/>
      <c r="H515" s="108"/>
      <c r="I515" s="362" t="s">
        <v>489</v>
      </c>
      <c r="J515" s="420">
        <v>39707.326240248221</v>
      </c>
      <c r="K515" s="101"/>
      <c r="L515" s="356">
        <f t="shared" si="69"/>
        <v>0</v>
      </c>
      <c r="M515" s="453"/>
      <c r="N515" s="68"/>
      <c r="O515" s="362" t="s">
        <v>1275</v>
      </c>
      <c r="P515" s="362" t="s">
        <v>495</v>
      </c>
      <c r="Q515" s="339"/>
    </row>
    <row r="516" spans="1:17" s="336" customFormat="1" ht="22.5">
      <c r="A516" s="240"/>
      <c r="B516" s="319">
        <f t="shared" si="70"/>
        <v>0</v>
      </c>
      <c r="C516" s="2"/>
      <c r="D516" s="398" t="s">
        <v>1358</v>
      </c>
      <c r="E516" s="362" t="str">
        <f>Lists!C492</f>
        <v>Clean, Lined &gt; 10 and &lt;= 20 ML, Arid</v>
      </c>
      <c r="F516" s="350"/>
      <c r="G516" s="353"/>
      <c r="H516" s="108"/>
      <c r="I516" s="362" t="s">
        <v>489</v>
      </c>
      <c r="J516" s="420">
        <v>68066.444747440444</v>
      </c>
      <c r="K516" s="101"/>
      <c r="L516" s="356">
        <f t="shared" si="69"/>
        <v>0</v>
      </c>
      <c r="M516" s="453"/>
      <c r="N516" s="68"/>
      <c r="O516" s="362" t="s">
        <v>1275</v>
      </c>
      <c r="P516" s="362" t="s">
        <v>495</v>
      </c>
      <c r="Q516" s="339"/>
    </row>
    <row r="517" spans="1:17" s="336" customFormat="1" ht="22.5">
      <c r="A517" s="240"/>
      <c r="B517" s="319">
        <f t="shared" si="70"/>
        <v>0</v>
      </c>
      <c r="C517" s="2"/>
      <c r="D517" s="398" t="s">
        <v>1359</v>
      </c>
      <c r="E517" s="362" t="str">
        <f>Lists!C493</f>
        <v>Clean, Lined &gt; 20 and &lt;= 50 ML, Arid</v>
      </c>
      <c r="F517" s="350"/>
      <c r="G517" s="353"/>
      <c r="H517" s="108"/>
      <c r="I517" s="362" t="s">
        <v>489</v>
      </c>
      <c r="J517" s="420">
        <v>99995.970070290321</v>
      </c>
      <c r="K517" s="101"/>
      <c r="L517" s="356">
        <f t="shared" si="69"/>
        <v>0</v>
      </c>
      <c r="M517" s="453"/>
      <c r="N517" s="68"/>
      <c r="O517" s="362" t="s">
        <v>1275</v>
      </c>
      <c r="P517" s="362" t="s">
        <v>495</v>
      </c>
      <c r="Q517" s="339"/>
    </row>
    <row r="518" spans="1:17" s="336" customFormat="1" ht="22.5">
      <c r="A518" s="240"/>
      <c r="B518" s="319">
        <f t="shared" si="70"/>
        <v>0</v>
      </c>
      <c r="C518" s="2"/>
      <c r="D518" s="398" t="s">
        <v>1360</v>
      </c>
      <c r="E518" s="362" t="str">
        <f>Lists!C494</f>
        <v>Clean, Lined &gt; 50 and &lt;= 100 ML, Arid</v>
      </c>
      <c r="F518" s="350"/>
      <c r="G518" s="353"/>
      <c r="H518" s="108"/>
      <c r="I518" s="362" t="s">
        <v>489</v>
      </c>
      <c r="J518" s="420">
        <v>138775.47700681275</v>
      </c>
      <c r="K518" s="101"/>
      <c r="L518" s="356">
        <f t="shared" si="69"/>
        <v>0</v>
      </c>
      <c r="M518" s="453"/>
      <c r="N518" s="68"/>
      <c r="O518" s="362" t="s">
        <v>1275</v>
      </c>
      <c r="P518" s="362" t="s">
        <v>495</v>
      </c>
      <c r="Q518" s="339"/>
    </row>
    <row r="519" spans="1:17" s="336" customFormat="1" ht="22.5">
      <c r="A519" s="240"/>
      <c r="B519" s="319">
        <f t="shared" si="70"/>
        <v>0</v>
      </c>
      <c r="C519" s="2"/>
      <c r="D519" s="398" t="s">
        <v>1361</v>
      </c>
      <c r="E519" s="362" t="str">
        <f>Lists!C495</f>
        <v>Clean, Lined &gt; 100 and &lt;= 200 ML, Arid</v>
      </c>
      <c r="F519" s="350"/>
      <c r="G519" s="353"/>
      <c r="H519" s="108"/>
      <c r="I519" s="362" t="s">
        <v>489</v>
      </c>
      <c r="J519" s="420">
        <v>212327.92305246144</v>
      </c>
      <c r="K519" s="101"/>
      <c r="L519" s="356">
        <f t="shared" si="69"/>
        <v>0</v>
      </c>
      <c r="M519" s="453"/>
      <c r="N519" s="68"/>
      <c r="O519" s="362" t="s">
        <v>1275</v>
      </c>
      <c r="P519" s="362" t="s">
        <v>495</v>
      </c>
      <c r="Q519" s="339"/>
    </row>
    <row r="520" spans="1:17" s="336" customFormat="1" ht="22.5">
      <c r="A520" s="240"/>
      <c r="B520" s="319">
        <f t="shared" si="70"/>
        <v>0</v>
      </c>
      <c r="C520" s="2"/>
      <c r="D520" s="398" t="s">
        <v>1362</v>
      </c>
      <c r="E520" s="362" t="str">
        <f>Lists!C496</f>
        <v>Clean, Lined &gt; 200 and &lt;= 300 ML, Arid</v>
      </c>
      <c r="F520" s="350"/>
      <c r="G520" s="353"/>
      <c r="H520" s="108"/>
      <c r="I520" s="362" t="s">
        <v>489</v>
      </c>
      <c r="J520" s="420">
        <v>323995.48833107372</v>
      </c>
      <c r="K520" s="101"/>
      <c r="L520" s="356">
        <f t="shared" si="69"/>
        <v>0</v>
      </c>
      <c r="M520" s="453"/>
      <c r="N520" s="68"/>
      <c r="O520" s="362" t="s">
        <v>1275</v>
      </c>
      <c r="P520" s="362" t="s">
        <v>495</v>
      </c>
      <c r="Q520" s="339"/>
    </row>
    <row r="521" spans="1:17" s="336" customFormat="1" ht="22.5">
      <c r="A521" s="240"/>
      <c r="B521" s="319">
        <f t="shared" si="70"/>
        <v>0</v>
      </c>
      <c r="C521" s="2"/>
      <c r="D521" s="398" t="s">
        <v>1363</v>
      </c>
      <c r="E521" s="362" t="str">
        <f>Lists!C497</f>
        <v>Clean, Lined &gt; 300 and &lt;= 500 ML, Arid</v>
      </c>
      <c r="F521" s="350"/>
      <c r="G521" s="353"/>
      <c r="H521" s="108"/>
      <c r="I521" s="362" t="s">
        <v>489</v>
      </c>
      <c r="J521" s="420">
        <v>436318.64993408008</v>
      </c>
      <c r="K521" s="101"/>
      <c r="L521" s="356">
        <f t="shared" ref="L521:L584" si="71">IF(K521="",J521,K521)*H521</f>
        <v>0</v>
      </c>
      <c r="M521" s="453"/>
      <c r="N521" s="68"/>
      <c r="O521" s="362" t="s">
        <v>1275</v>
      </c>
      <c r="P521" s="362" t="s">
        <v>495</v>
      </c>
      <c r="Q521" s="339"/>
    </row>
    <row r="522" spans="1:17" s="336" customFormat="1" ht="22.5">
      <c r="A522" s="240"/>
      <c r="B522" s="319">
        <f t="shared" si="70"/>
        <v>0</v>
      </c>
      <c r="C522" s="2"/>
      <c r="D522" s="398" t="s">
        <v>1364</v>
      </c>
      <c r="E522" s="362" t="str">
        <f>Lists!C498</f>
        <v>Clean, Lined &gt; 500 and &lt;= 1000 ML, Arid</v>
      </c>
      <c r="F522" s="350"/>
      <c r="G522" s="353"/>
      <c r="H522" s="108"/>
      <c r="I522" s="362" t="s">
        <v>489</v>
      </c>
      <c r="J522" s="420">
        <v>710116.12730979896</v>
      </c>
      <c r="K522" s="101"/>
      <c r="L522" s="356">
        <f t="shared" si="71"/>
        <v>0</v>
      </c>
      <c r="M522" s="453"/>
      <c r="N522" s="68"/>
      <c r="O522" s="362" t="s">
        <v>1275</v>
      </c>
      <c r="P522" s="362" t="s">
        <v>495</v>
      </c>
      <c r="Q522" s="339"/>
    </row>
    <row r="523" spans="1:17" s="336" customFormat="1" ht="22.5">
      <c r="A523" s="240"/>
      <c r="B523" s="319">
        <f t="shared" si="70"/>
        <v>0</v>
      </c>
      <c r="C523" s="2"/>
      <c r="D523" s="398" t="s">
        <v>1365</v>
      </c>
      <c r="E523" s="362" t="str">
        <f>Lists!C499</f>
        <v>Clean, Lined &gt; 1000 and &lt;= 2000 ML, Arid</v>
      </c>
      <c r="F523" s="350"/>
      <c r="G523" s="353"/>
      <c r="H523" s="108"/>
      <c r="I523" s="362" t="s">
        <v>489</v>
      </c>
      <c r="J523" s="420">
        <v>1103206.227038912</v>
      </c>
      <c r="K523" s="101"/>
      <c r="L523" s="356">
        <f t="shared" si="71"/>
        <v>0</v>
      </c>
      <c r="M523" s="453"/>
      <c r="N523" s="68"/>
      <c r="O523" s="362" t="s">
        <v>1275</v>
      </c>
      <c r="P523" s="362" t="s">
        <v>495</v>
      </c>
      <c r="Q523" s="339"/>
    </row>
    <row r="524" spans="1:17" s="336" customFormat="1" ht="22.5">
      <c r="A524" s="240"/>
      <c r="B524" s="319">
        <f t="shared" si="70"/>
        <v>0</v>
      </c>
      <c r="C524" s="2"/>
      <c r="D524" s="398" t="s">
        <v>1366</v>
      </c>
      <c r="E524" s="362" t="str">
        <f>Lists!C500</f>
        <v>Clean, Lined &gt; 2000 and &lt;= 3000 ML, Arid</v>
      </c>
      <c r="F524" s="350"/>
      <c r="G524" s="353"/>
      <c r="H524" s="108"/>
      <c r="I524" s="362" t="s">
        <v>489</v>
      </c>
      <c r="J524" s="420">
        <v>1422777.6006339516</v>
      </c>
      <c r="K524" s="101"/>
      <c r="L524" s="356">
        <f t="shared" si="71"/>
        <v>0</v>
      </c>
      <c r="M524" s="453"/>
      <c r="N524" s="68"/>
      <c r="O524" s="362" t="s">
        <v>1275</v>
      </c>
      <c r="P524" s="362" t="s">
        <v>495</v>
      </c>
      <c r="Q524" s="339"/>
    </row>
    <row r="525" spans="1:17" s="336" customFormat="1" ht="22.5">
      <c r="A525" s="240"/>
      <c r="B525" s="319">
        <f t="shared" si="70"/>
        <v>0</v>
      </c>
      <c r="C525" s="2"/>
      <c r="D525" s="398" t="s">
        <v>1367</v>
      </c>
      <c r="E525" s="362" t="str">
        <f>Lists!C501</f>
        <v>Clean, Lined &gt; 3000 and &lt;= 4000 ML, Arid</v>
      </c>
      <c r="F525" s="350"/>
      <c r="G525" s="353"/>
      <c r="H525" s="108"/>
      <c r="I525" s="362" t="s">
        <v>489</v>
      </c>
      <c r="J525" s="420">
        <v>1653363.6448879382</v>
      </c>
      <c r="K525" s="101"/>
      <c r="L525" s="356">
        <f t="shared" si="71"/>
        <v>0</v>
      </c>
      <c r="M525" s="453"/>
      <c r="N525" s="68"/>
      <c r="O525" s="362" t="s">
        <v>1275</v>
      </c>
      <c r="P525" s="362" t="s">
        <v>495</v>
      </c>
      <c r="Q525" s="339"/>
    </row>
    <row r="526" spans="1:17" s="336" customFormat="1" ht="22.5">
      <c r="A526" s="240"/>
      <c r="B526" s="319">
        <f t="shared" si="70"/>
        <v>0</v>
      </c>
      <c r="C526" s="2"/>
      <c r="D526" s="398" t="s">
        <v>1368</v>
      </c>
      <c r="E526" s="362" t="str">
        <f>Lists!C502</f>
        <v>Clean, Lined &gt; 4000 and &lt;= 5000 ML, Arid</v>
      </c>
      <c r="F526" s="350"/>
      <c r="G526" s="353"/>
      <c r="H526" s="108"/>
      <c r="I526" s="362" t="s">
        <v>489</v>
      </c>
      <c r="J526" s="420">
        <v>1924147.8787364892</v>
      </c>
      <c r="K526" s="101"/>
      <c r="L526" s="356">
        <f t="shared" si="71"/>
        <v>0</v>
      </c>
      <c r="M526" s="453"/>
      <c r="N526" s="68"/>
      <c r="O526" s="362" t="s">
        <v>1275</v>
      </c>
      <c r="P526" s="362" t="s">
        <v>495</v>
      </c>
      <c r="Q526" s="339"/>
    </row>
    <row r="527" spans="1:17" s="336" customFormat="1" ht="90">
      <c r="A527" s="240"/>
      <c r="B527" s="319">
        <f t="shared" si="70"/>
        <v>0</v>
      </c>
      <c r="C527" s="2"/>
      <c r="D527" s="398" t="s">
        <v>1369</v>
      </c>
      <c r="E527" s="362" t="str">
        <f>Lists!C503</f>
        <v>Clean, Unlined &gt; 0 and &lt;= 1 ML, Pasture</v>
      </c>
      <c r="F527" s="350"/>
      <c r="G527" s="353"/>
      <c r="H527" s="108"/>
      <c r="I527" s="362" t="s">
        <v>489</v>
      </c>
      <c r="J527" s="420">
        <v>6709.6711594257085</v>
      </c>
      <c r="K527" s="101"/>
      <c r="L527" s="356">
        <f t="shared" si="71"/>
        <v>0</v>
      </c>
      <c r="M527" s="453"/>
      <c r="N527" s="68"/>
      <c r="O527" s="362" t="s">
        <v>1275</v>
      </c>
      <c r="P527" s="362" t="s">
        <v>1370</v>
      </c>
      <c r="Q527" s="339"/>
    </row>
    <row r="528" spans="1:17" s="336" customFormat="1" ht="22.5">
      <c r="A528" s="240"/>
      <c r="B528" s="319">
        <f t="shared" si="70"/>
        <v>0</v>
      </c>
      <c r="C528" s="2"/>
      <c r="D528" s="398" t="s">
        <v>1371</v>
      </c>
      <c r="E528" s="362" t="str">
        <f>Lists!C504</f>
        <v>Clean, Unlined &gt; 1 and &lt;= 3.5 ML, Pasture</v>
      </c>
      <c r="F528" s="350"/>
      <c r="G528" s="353"/>
      <c r="H528" s="108"/>
      <c r="I528" s="362" t="s">
        <v>489</v>
      </c>
      <c r="J528" s="420">
        <v>14379.914746833692</v>
      </c>
      <c r="K528" s="101"/>
      <c r="L528" s="356">
        <f t="shared" si="71"/>
        <v>0</v>
      </c>
      <c r="M528" s="453"/>
      <c r="N528" s="68"/>
      <c r="O528" s="362" t="s">
        <v>1275</v>
      </c>
      <c r="P528" s="362" t="s">
        <v>881</v>
      </c>
      <c r="Q528" s="339"/>
    </row>
    <row r="529" spans="1:17" s="336" customFormat="1" ht="22.5">
      <c r="A529" s="240"/>
      <c r="B529" s="319">
        <f t="shared" si="70"/>
        <v>0</v>
      </c>
      <c r="C529" s="2"/>
      <c r="D529" s="398" t="s">
        <v>1372</v>
      </c>
      <c r="E529" s="362" t="str">
        <f>Lists!C505</f>
        <v>Clean, Unlined &gt; 3.5 and &lt;= 7.5 ML, Pasture</v>
      </c>
      <c r="F529" s="350"/>
      <c r="G529" s="353"/>
      <c r="H529" s="108"/>
      <c r="I529" s="362" t="s">
        <v>489</v>
      </c>
      <c r="J529" s="420">
        <v>26825.431147792588</v>
      </c>
      <c r="K529" s="101"/>
      <c r="L529" s="356">
        <f t="shared" si="71"/>
        <v>0</v>
      </c>
      <c r="M529" s="453"/>
      <c r="N529" s="68"/>
      <c r="O529" s="362" t="s">
        <v>1275</v>
      </c>
      <c r="P529" s="362" t="s">
        <v>881</v>
      </c>
      <c r="Q529" s="339"/>
    </row>
    <row r="530" spans="1:17" s="336" customFormat="1" ht="22.5">
      <c r="A530" s="240"/>
      <c r="B530" s="319">
        <f t="shared" si="70"/>
        <v>0</v>
      </c>
      <c r="C530" s="2"/>
      <c r="D530" s="398" t="s">
        <v>1373</v>
      </c>
      <c r="E530" s="362" t="str">
        <f>Lists!C506</f>
        <v>Clean, Unlined &gt; 7.5 and &lt;= 10 ML, Pasture</v>
      </c>
      <c r="F530" s="350"/>
      <c r="G530" s="353"/>
      <c r="H530" s="108"/>
      <c r="I530" s="362" t="s">
        <v>489</v>
      </c>
      <c r="J530" s="420">
        <v>37912.157501882379</v>
      </c>
      <c r="K530" s="101"/>
      <c r="L530" s="356">
        <f t="shared" si="71"/>
        <v>0</v>
      </c>
      <c r="M530" s="453"/>
      <c r="N530" s="68"/>
      <c r="O530" s="362" t="s">
        <v>1275</v>
      </c>
      <c r="P530" s="362" t="s">
        <v>881</v>
      </c>
      <c r="Q530" s="339"/>
    </row>
    <row r="531" spans="1:17" s="336" customFormat="1" ht="22.5">
      <c r="A531" s="240"/>
      <c r="B531" s="319">
        <f t="shared" si="70"/>
        <v>0</v>
      </c>
      <c r="C531" s="2"/>
      <c r="D531" s="398" t="s">
        <v>1374</v>
      </c>
      <c r="E531" s="362" t="str">
        <f>Lists!C507</f>
        <v>Clean, Unlined &gt; 10 and &lt;= 20 ML, Pasture</v>
      </c>
      <c r="F531" s="350"/>
      <c r="G531" s="353"/>
      <c r="H531" s="108"/>
      <c r="I531" s="362" t="s">
        <v>489</v>
      </c>
      <c r="J531" s="420">
        <v>64476.107270708744</v>
      </c>
      <c r="K531" s="101"/>
      <c r="L531" s="356">
        <f t="shared" si="71"/>
        <v>0</v>
      </c>
      <c r="M531" s="453"/>
      <c r="N531" s="68"/>
      <c r="O531" s="362" t="s">
        <v>1275</v>
      </c>
      <c r="P531" s="362" t="s">
        <v>881</v>
      </c>
      <c r="Q531" s="339"/>
    </row>
    <row r="532" spans="1:17" s="336" customFormat="1" ht="22.5">
      <c r="A532" s="240"/>
      <c r="B532" s="319">
        <f t="shared" si="70"/>
        <v>0</v>
      </c>
      <c r="C532" s="2"/>
      <c r="D532" s="398" t="s">
        <v>1375</v>
      </c>
      <c r="E532" s="362" t="str">
        <f>Lists!C508</f>
        <v>Clean, Unlined &gt; 20 and &lt;= 50 ML, Pasture</v>
      </c>
      <c r="F532" s="350"/>
      <c r="G532" s="353"/>
      <c r="H532" s="108"/>
      <c r="I532" s="362" t="s">
        <v>489</v>
      </c>
      <c r="J532" s="420">
        <v>94311.269065465138</v>
      </c>
      <c r="K532" s="101"/>
      <c r="L532" s="356">
        <f t="shared" si="71"/>
        <v>0</v>
      </c>
      <c r="M532" s="453"/>
      <c r="N532" s="68"/>
      <c r="O532" s="362" t="s">
        <v>1275</v>
      </c>
      <c r="P532" s="362" t="s">
        <v>881</v>
      </c>
      <c r="Q532" s="339"/>
    </row>
    <row r="533" spans="1:17" s="336" customFormat="1" ht="22.5">
      <c r="A533" s="240"/>
      <c r="B533" s="319">
        <f t="shared" si="70"/>
        <v>0</v>
      </c>
      <c r="C533" s="2"/>
      <c r="D533" s="398" t="s">
        <v>1376</v>
      </c>
      <c r="E533" s="362" t="str">
        <f>Lists!C509</f>
        <v>Clean, Unlined &gt; 50 and &lt;= 100 ML, Pasture</v>
      </c>
      <c r="F533" s="350"/>
      <c r="G533" s="353"/>
      <c r="H533" s="108"/>
      <c r="I533" s="362" t="s">
        <v>489</v>
      </c>
      <c r="J533" s="420">
        <v>130697.21768416642</v>
      </c>
      <c r="K533" s="101"/>
      <c r="L533" s="356">
        <f t="shared" si="71"/>
        <v>0</v>
      </c>
      <c r="M533" s="453"/>
      <c r="N533" s="68"/>
      <c r="O533" s="362" t="s">
        <v>1275</v>
      </c>
      <c r="P533" s="362" t="s">
        <v>881</v>
      </c>
      <c r="Q533" s="339"/>
    </row>
    <row r="534" spans="1:17" s="336" customFormat="1" ht="22.5">
      <c r="A534" s="240"/>
      <c r="B534" s="319">
        <f t="shared" si="70"/>
        <v>0</v>
      </c>
      <c r="C534" s="2"/>
      <c r="D534" s="398" t="s">
        <v>1377</v>
      </c>
      <c r="E534" s="362" t="str">
        <f>Lists!C510</f>
        <v>Clean, Unlined &gt; 100 and &lt;= 200 ML, Pasture</v>
      </c>
      <c r="F534" s="350"/>
      <c r="G534" s="353"/>
      <c r="H534" s="108"/>
      <c r="I534" s="362" t="s">
        <v>489</v>
      </c>
      <c r="J534" s="420">
        <v>198864.15751471758</v>
      </c>
      <c r="K534" s="101"/>
      <c r="L534" s="356">
        <f t="shared" si="71"/>
        <v>0</v>
      </c>
      <c r="M534" s="453"/>
      <c r="N534" s="68"/>
      <c r="O534" s="362" t="s">
        <v>1275</v>
      </c>
      <c r="P534" s="362" t="s">
        <v>881</v>
      </c>
      <c r="Q534" s="339"/>
    </row>
    <row r="535" spans="1:17" s="336" customFormat="1" ht="22.5">
      <c r="A535" s="240"/>
      <c r="B535" s="319">
        <f t="shared" si="70"/>
        <v>0</v>
      </c>
      <c r="C535" s="2"/>
      <c r="D535" s="398" t="s">
        <v>1378</v>
      </c>
      <c r="E535" s="362" t="str">
        <f>Lists!C511</f>
        <v>Clean, Unlined &gt; 200 and &lt;= 300 ML, Pasture</v>
      </c>
      <c r="F535" s="350"/>
      <c r="G535" s="353"/>
      <c r="H535" s="108"/>
      <c r="I535" s="362" t="s">
        <v>489</v>
      </c>
      <c r="J535" s="420">
        <v>303051.8530501388</v>
      </c>
      <c r="K535" s="101"/>
      <c r="L535" s="356">
        <f t="shared" si="71"/>
        <v>0</v>
      </c>
      <c r="M535" s="453"/>
      <c r="N535" s="68"/>
      <c r="O535" s="362" t="s">
        <v>1275</v>
      </c>
      <c r="P535" s="362" t="s">
        <v>881</v>
      </c>
      <c r="Q535" s="339"/>
    </row>
    <row r="536" spans="1:17" s="336" customFormat="1" ht="22.5">
      <c r="A536" s="240"/>
      <c r="B536" s="319">
        <f t="shared" si="70"/>
        <v>0</v>
      </c>
      <c r="C536" s="2"/>
      <c r="D536" s="398" t="s">
        <v>1379</v>
      </c>
      <c r="E536" s="362" t="str">
        <f>Lists!C512</f>
        <v>Clean, Unlined &gt; 300 and &lt;= 500 ML, Pasture</v>
      </c>
      <c r="F536" s="350"/>
      <c r="G536" s="353"/>
      <c r="H536" s="108"/>
      <c r="I536" s="362" t="s">
        <v>489</v>
      </c>
      <c r="J536" s="420">
        <v>405501.58659213298</v>
      </c>
      <c r="K536" s="101"/>
      <c r="L536" s="356">
        <f t="shared" si="71"/>
        <v>0</v>
      </c>
      <c r="M536" s="453"/>
      <c r="N536" s="68"/>
      <c r="O536" s="362" t="s">
        <v>1275</v>
      </c>
      <c r="P536" s="362" t="s">
        <v>881</v>
      </c>
      <c r="Q536" s="339"/>
    </row>
    <row r="537" spans="1:17" s="336" customFormat="1" ht="22.5">
      <c r="A537" s="240"/>
      <c r="B537" s="319">
        <f t="shared" si="70"/>
        <v>0</v>
      </c>
      <c r="C537" s="2"/>
      <c r="D537" s="398" t="s">
        <v>1380</v>
      </c>
      <c r="E537" s="362" t="str">
        <f>Lists!C513</f>
        <v>Clean, Unlined &gt; 500 and &lt;= 1000 ML, Pasture</v>
      </c>
      <c r="F537" s="350"/>
      <c r="G537" s="353"/>
      <c r="H537" s="108"/>
      <c r="I537" s="362" t="s">
        <v>489</v>
      </c>
      <c r="J537" s="420">
        <v>654765.09121018532</v>
      </c>
      <c r="K537" s="101"/>
      <c r="L537" s="356">
        <f t="shared" si="71"/>
        <v>0</v>
      </c>
      <c r="M537" s="453"/>
      <c r="N537" s="68"/>
      <c r="O537" s="362" t="s">
        <v>1275</v>
      </c>
      <c r="P537" s="362" t="s">
        <v>881</v>
      </c>
      <c r="Q537" s="339"/>
    </row>
    <row r="538" spans="1:17" s="336" customFormat="1" ht="22.5">
      <c r="A538" s="240"/>
      <c r="B538" s="319">
        <f t="shared" si="70"/>
        <v>0</v>
      </c>
      <c r="C538" s="2"/>
      <c r="D538" s="398" t="s">
        <v>1381</v>
      </c>
      <c r="E538" s="362" t="str">
        <f>Lists!C514</f>
        <v>Clean, Unlined &gt; 1000 and &lt;= 2000 ML, Pasture</v>
      </c>
      <c r="F538" s="350"/>
      <c r="G538" s="353"/>
      <c r="H538" s="108"/>
      <c r="I538" s="362" t="s">
        <v>489</v>
      </c>
      <c r="J538" s="420">
        <v>1004471.9464287905</v>
      </c>
      <c r="K538" s="101"/>
      <c r="L538" s="356">
        <f t="shared" si="71"/>
        <v>0</v>
      </c>
      <c r="M538" s="453"/>
      <c r="N538" s="68"/>
      <c r="O538" s="362" t="s">
        <v>1275</v>
      </c>
      <c r="P538" s="362" t="s">
        <v>881</v>
      </c>
      <c r="Q538" s="339"/>
    </row>
    <row r="539" spans="1:17" s="336" customFormat="1" ht="22.5">
      <c r="A539" s="240"/>
      <c r="B539" s="319">
        <f t="shared" si="70"/>
        <v>0</v>
      </c>
      <c r="C539" s="2"/>
      <c r="D539" s="398" t="s">
        <v>1382</v>
      </c>
      <c r="E539" s="362" t="str">
        <f>Lists!C515</f>
        <v>Clean, Unlined &gt; 2000 and &lt;= 3000 ML, Pasture</v>
      </c>
      <c r="F539" s="350"/>
      <c r="G539" s="353"/>
      <c r="H539" s="108"/>
      <c r="I539" s="362" t="s">
        <v>489</v>
      </c>
      <c r="J539" s="420">
        <v>1291131.893153789</v>
      </c>
      <c r="K539" s="101"/>
      <c r="L539" s="356">
        <f t="shared" si="71"/>
        <v>0</v>
      </c>
      <c r="M539" s="453"/>
      <c r="N539" s="68"/>
      <c r="O539" s="362" t="s">
        <v>1275</v>
      </c>
      <c r="P539" s="362" t="s">
        <v>881</v>
      </c>
      <c r="Q539" s="339"/>
    </row>
    <row r="540" spans="1:17" s="336" customFormat="1" ht="22.5">
      <c r="A540" s="240"/>
      <c r="B540" s="319">
        <f t="shared" si="70"/>
        <v>0</v>
      </c>
      <c r="C540" s="2"/>
      <c r="D540" s="398" t="s">
        <v>1383</v>
      </c>
      <c r="E540" s="362" t="str">
        <f>Lists!C516</f>
        <v>Clean, Unlined &gt; 3000 and &lt;= 4000 ML, Pasture</v>
      </c>
      <c r="F540" s="350"/>
      <c r="G540" s="353"/>
      <c r="H540" s="108"/>
      <c r="I540" s="362" t="s">
        <v>489</v>
      </c>
      <c r="J540" s="420">
        <v>1503766.2500241175</v>
      </c>
      <c r="K540" s="101"/>
      <c r="L540" s="356">
        <f t="shared" si="71"/>
        <v>0</v>
      </c>
      <c r="M540" s="453"/>
      <c r="N540" s="68"/>
      <c r="O540" s="362" t="s">
        <v>1275</v>
      </c>
      <c r="P540" s="362" t="s">
        <v>881</v>
      </c>
      <c r="Q540" s="339"/>
    </row>
    <row r="541" spans="1:17" s="336" customFormat="1" ht="22.5">
      <c r="A541" s="240"/>
      <c r="B541" s="319">
        <f t="shared" si="70"/>
        <v>0</v>
      </c>
      <c r="C541" s="2"/>
      <c r="D541" s="398" t="s">
        <v>1384</v>
      </c>
      <c r="E541" s="362" t="str">
        <f>Lists!C517</f>
        <v>Clean, Unlined &gt; 4000 and &lt;= 5000 ML, Pasture</v>
      </c>
      <c r="F541" s="350"/>
      <c r="G541" s="353"/>
      <c r="H541" s="108"/>
      <c r="I541" s="362" t="s">
        <v>489</v>
      </c>
      <c r="J541" s="420">
        <v>1756598.7964890101</v>
      </c>
      <c r="K541" s="101"/>
      <c r="L541" s="356">
        <f t="shared" si="71"/>
        <v>0</v>
      </c>
      <c r="M541" s="453"/>
      <c r="N541" s="68"/>
      <c r="O541" s="362" t="s">
        <v>1275</v>
      </c>
      <c r="P541" s="362" t="s">
        <v>881</v>
      </c>
      <c r="Q541" s="339"/>
    </row>
    <row r="542" spans="1:17" s="336" customFormat="1" ht="90">
      <c r="A542" s="240"/>
      <c r="B542" s="319">
        <f t="shared" si="70"/>
        <v>0</v>
      </c>
      <c r="C542" s="2"/>
      <c r="D542" s="398" t="s">
        <v>1385</v>
      </c>
      <c r="E542" s="362" t="str">
        <f>Lists!C518</f>
        <v>Clean, Unlined &gt; 0 and &lt;= 1 ML, Native</v>
      </c>
      <c r="F542" s="350"/>
      <c r="G542" s="353"/>
      <c r="H542" s="108"/>
      <c r="I542" s="362" t="s">
        <v>489</v>
      </c>
      <c r="J542" s="420">
        <v>6963.7711594257089</v>
      </c>
      <c r="K542" s="101"/>
      <c r="L542" s="356">
        <f t="shared" si="71"/>
        <v>0</v>
      </c>
      <c r="M542" s="453"/>
      <c r="N542" s="68"/>
      <c r="O542" s="362" t="s">
        <v>1275</v>
      </c>
      <c r="P542" s="362" t="s">
        <v>1386</v>
      </c>
      <c r="Q542" s="339"/>
    </row>
    <row r="543" spans="1:17" s="336" customFormat="1" ht="22.5">
      <c r="A543" s="240"/>
      <c r="B543" s="319">
        <f t="shared" si="70"/>
        <v>0</v>
      </c>
      <c r="C543" s="2"/>
      <c r="D543" s="398" t="s">
        <v>1387</v>
      </c>
      <c r="E543" s="362" t="str">
        <f>Lists!C519</f>
        <v>Clean, Unlined &gt; 1 and &lt;= 3.5 ML, Native</v>
      </c>
      <c r="F543" s="350"/>
      <c r="G543" s="353"/>
      <c r="H543" s="108"/>
      <c r="I543" s="362" t="s">
        <v>489</v>
      </c>
      <c r="J543" s="420">
        <v>15142.214746833692</v>
      </c>
      <c r="K543" s="101"/>
      <c r="L543" s="356">
        <f t="shared" si="71"/>
        <v>0</v>
      </c>
      <c r="M543" s="453"/>
      <c r="N543" s="68"/>
      <c r="O543" s="362" t="s">
        <v>1275</v>
      </c>
      <c r="P543" s="362" t="s">
        <v>881</v>
      </c>
      <c r="Q543" s="339"/>
    </row>
    <row r="544" spans="1:17" s="336" customFormat="1" ht="22.5">
      <c r="A544" s="240"/>
      <c r="B544" s="319">
        <f t="shared" si="70"/>
        <v>0</v>
      </c>
      <c r="C544" s="2"/>
      <c r="D544" s="398" t="s">
        <v>1388</v>
      </c>
      <c r="E544" s="362" t="str">
        <f>Lists!C520</f>
        <v>Clean, Unlined &gt; 3.5 and &lt;= 7.5 ML, Native</v>
      </c>
      <c r="F544" s="350"/>
      <c r="G544" s="353"/>
      <c r="H544" s="108"/>
      <c r="I544" s="362" t="s">
        <v>489</v>
      </c>
      <c r="J544" s="420">
        <v>28095.931147792588</v>
      </c>
      <c r="K544" s="101"/>
      <c r="L544" s="356">
        <f t="shared" si="71"/>
        <v>0</v>
      </c>
      <c r="M544" s="453"/>
      <c r="N544" s="68"/>
      <c r="O544" s="362" t="s">
        <v>1275</v>
      </c>
      <c r="P544" s="362" t="s">
        <v>881</v>
      </c>
      <c r="Q544" s="339"/>
    </row>
    <row r="545" spans="1:17" s="336" customFormat="1" ht="22.5">
      <c r="A545" s="240"/>
      <c r="B545" s="319">
        <f t="shared" si="70"/>
        <v>0</v>
      </c>
      <c r="C545" s="2"/>
      <c r="D545" s="398" t="s">
        <v>1389</v>
      </c>
      <c r="E545" s="362" t="str">
        <f>Lists!C521</f>
        <v>Clean, Unlined &gt; 7.5 and &lt;= 10 ML, Native</v>
      </c>
      <c r="F545" s="350"/>
      <c r="G545" s="353"/>
      <c r="H545" s="108"/>
      <c r="I545" s="362" t="s">
        <v>489</v>
      </c>
      <c r="J545" s="420">
        <v>39436.75750188237</v>
      </c>
      <c r="K545" s="101"/>
      <c r="L545" s="356">
        <f t="shared" si="71"/>
        <v>0</v>
      </c>
      <c r="M545" s="453"/>
      <c r="N545" s="68"/>
      <c r="O545" s="362" t="s">
        <v>1275</v>
      </c>
      <c r="P545" s="362" t="s">
        <v>881</v>
      </c>
      <c r="Q545" s="339"/>
    </row>
    <row r="546" spans="1:17" s="336" customFormat="1" ht="22.5">
      <c r="A546" s="240"/>
      <c r="B546" s="319">
        <f t="shared" si="70"/>
        <v>0</v>
      </c>
      <c r="C546" s="2"/>
      <c r="D546" s="398" t="s">
        <v>1390</v>
      </c>
      <c r="E546" s="362" t="str">
        <f>Lists!C522</f>
        <v>Clean, Unlined &gt; 10 and &lt;= 20 ML, Native</v>
      </c>
      <c r="F546" s="350"/>
      <c r="G546" s="353"/>
      <c r="H546" s="108"/>
      <c r="I546" s="362" t="s">
        <v>489</v>
      </c>
      <c r="J546" s="420">
        <v>67525.307270708741</v>
      </c>
      <c r="K546" s="101"/>
      <c r="L546" s="356">
        <f t="shared" si="71"/>
        <v>0</v>
      </c>
      <c r="M546" s="453"/>
      <c r="N546" s="68"/>
      <c r="O546" s="362" t="s">
        <v>1275</v>
      </c>
      <c r="P546" s="362" t="s">
        <v>881</v>
      </c>
      <c r="Q546" s="339"/>
    </row>
    <row r="547" spans="1:17" s="336" customFormat="1" ht="22.5">
      <c r="A547" s="240"/>
      <c r="B547" s="319">
        <f t="shared" si="70"/>
        <v>0</v>
      </c>
      <c r="C547" s="2"/>
      <c r="D547" s="398" t="s">
        <v>1391</v>
      </c>
      <c r="E547" s="362" t="str">
        <f>Lists!C523</f>
        <v>Clean, Unlined &gt; 20 and &lt;= 50 ML, Native</v>
      </c>
      <c r="F547" s="350"/>
      <c r="G547" s="353"/>
      <c r="H547" s="108"/>
      <c r="I547" s="362" t="s">
        <v>489</v>
      </c>
      <c r="J547" s="420">
        <v>99139.169065465132</v>
      </c>
      <c r="K547" s="101"/>
      <c r="L547" s="356">
        <f t="shared" si="71"/>
        <v>0</v>
      </c>
      <c r="M547" s="453"/>
      <c r="N547" s="68"/>
      <c r="O547" s="362" t="s">
        <v>1275</v>
      </c>
      <c r="P547" s="362" t="s">
        <v>881</v>
      </c>
      <c r="Q547" s="339"/>
    </row>
    <row r="548" spans="1:17" s="336" customFormat="1" ht="22.5">
      <c r="A548" s="240"/>
      <c r="B548" s="319">
        <f t="shared" si="70"/>
        <v>0</v>
      </c>
      <c r="C548" s="2"/>
      <c r="D548" s="398" t="s">
        <v>1392</v>
      </c>
      <c r="E548" s="362" t="str">
        <f>Lists!C524</f>
        <v>Clean, Unlined &gt; 50 and &lt;= 100 ML, Native</v>
      </c>
      <c r="F548" s="350"/>
      <c r="G548" s="353"/>
      <c r="H548" s="108"/>
      <c r="I548" s="362" t="s">
        <v>489</v>
      </c>
      <c r="J548" s="420">
        <v>137557.91768416643</v>
      </c>
      <c r="K548" s="101"/>
      <c r="L548" s="356">
        <f t="shared" si="71"/>
        <v>0</v>
      </c>
      <c r="M548" s="453"/>
      <c r="N548" s="68"/>
      <c r="O548" s="362" t="s">
        <v>1275</v>
      </c>
      <c r="P548" s="362" t="s">
        <v>881</v>
      </c>
      <c r="Q548" s="339"/>
    </row>
    <row r="549" spans="1:17" s="336" customFormat="1" ht="22.5">
      <c r="A549" s="240"/>
      <c r="B549" s="319">
        <f t="shared" si="70"/>
        <v>0</v>
      </c>
      <c r="C549" s="2"/>
      <c r="D549" s="398" t="s">
        <v>1393</v>
      </c>
      <c r="E549" s="362" t="str">
        <f>Lists!C525</f>
        <v>Clean, Unlined &gt; 100 and &lt;= 200 ML, Native</v>
      </c>
      <c r="F549" s="350"/>
      <c r="G549" s="353"/>
      <c r="H549" s="108"/>
      <c r="I549" s="362" t="s">
        <v>489</v>
      </c>
      <c r="J549" s="420">
        <v>210298.65751471758</v>
      </c>
      <c r="K549" s="101"/>
      <c r="L549" s="356">
        <f t="shared" si="71"/>
        <v>0</v>
      </c>
      <c r="M549" s="453"/>
      <c r="N549" s="68"/>
      <c r="O549" s="362" t="s">
        <v>1275</v>
      </c>
      <c r="P549" s="362" t="s">
        <v>881</v>
      </c>
      <c r="Q549" s="339"/>
    </row>
    <row r="550" spans="1:17" s="336" customFormat="1" ht="22.5">
      <c r="A550" s="240"/>
      <c r="B550" s="319">
        <f t="shared" si="70"/>
        <v>0</v>
      </c>
      <c r="C550" s="2"/>
      <c r="D550" s="398" t="s">
        <v>1394</v>
      </c>
      <c r="E550" s="362" t="str">
        <f>Lists!C526</f>
        <v>Clean, Unlined &gt; 200 and &lt;= 300 ML, Native</v>
      </c>
      <c r="F550" s="350"/>
      <c r="G550" s="353"/>
      <c r="H550" s="108"/>
      <c r="I550" s="362" t="s">
        <v>489</v>
      </c>
      <c r="J550" s="420">
        <v>320838.8530501388</v>
      </c>
      <c r="K550" s="101"/>
      <c r="L550" s="356">
        <f t="shared" si="71"/>
        <v>0</v>
      </c>
      <c r="M550" s="453"/>
      <c r="N550" s="68"/>
      <c r="O550" s="362" t="s">
        <v>1275</v>
      </c>
      <c r="P550" s="362" t="s">
        <v>881</v>
      </c>
      <c r="Q550" s="339"/>
    </row>
    <row r="551" spans="1:17" s="336" customFormat="1" ht="22.5">
      <c r="A551" s="240"/>
      <c r="B551" s="319">
        <f t="shared" si="70"/>
        <v>0</v>
      </c>
      <c r="C551" s="2"/>
      <c r="D551" s="398" t="s">
        <v>1395</v>
      </c>
      <c r="E551" s="362" t="str">
        <f>Lists!C527</f>
        <v>Clean, Unlined &gt; 300 and &lt;= 500 ML, Native</v>
      </c>
      <c r="F551" s="350"/>
      <c r="G551" s="353"/>
      <c r="H551" s="108"/>
      <c r="I551" s="362" t="s">
        <v>489</v>
      </c>
      <c r="J551" s="420">
        <v>431673.88659213297</v>
      </c>
      <c r="K551" s="101"/>
      <c r="L551" s="356">
        <f t="shared" si="71"/>
        <v>0</v>
      </c>
      <c r="M551" s="453"/>
      <c r="N551" s="68"/>
      <c r="O551" s="362" t="s">
        <v>1275</v>
      </c>
      <c r="P551" s="362" t="s">
        <v>881</v>
      </c>
      <c r="Q551" s="339"/>
    </row>
    <row r="552" spans="1:17" s="336" customFormat="1" ht="22.5">
      <c r="A552" s="240"/>
      <c r="B552" s="319">
        <f t="shared" si="70"/>
        <v>0</v>
      </c>
      <c r="C552" s="2"/>
      <c r="D552" s="398" t="s">
        <v>1396</v>
      </c>
      <c r="E552" s="362" t="str">
        <f>Lists!C528</f>
        <v>Clean, Unlined &gt; 500 and &lt;= 1000 ML, Native</v>
      </c>
      <c r="F552" s="350"/>
      <c r="G552" s="353"/>
      <c r="H552" s="108"/>
      <c r="I552" s="362" t="s">
        <v>489</v>
      </c>
      <c r="J552" s="420">
        <v>701773.59121018532</v>
      </c>
      <c r="K552" s="101"/>
      <c r="L552" s="356">
        <f t="shared" si="71"/>
        <v>0</v>
      </c>
      <c r="M552" s="453"/>
      <c r="N552" s="68"/>
      <c r="O552" s="362" t="s">
        <v>1275</v>
      </c>
      <c r="P552" s="362" t="s">
        <v>881</v>
      </c>
      <c r="Q552" s="339"/>
    </row>
    <row r="553" spans="1:17" s="336" customFormat="1" ht="22.5">
      <c r="A553" s="240"/>
      <c r="B553" s="319">
        <f t="shared" si="70"/>
        <v>0</v>
      </c>
      <c r="C553" s="2"/>
      <c r="D553" s="398" t="s">
        <v>1397</v>
      </c>
      <c r="E553" s="362" t="str">
        <f>Lists!C529</f>
        <v>Clean, Unlined &gt; 1000 and &lt;= 2000 ML, Native</v>
      </c>
      <c r="F553" s="350"/>
      <c r="G553" s="353"/>
      <c r="H553" s="108"/>
      <c r="I553" s="362" t="s">
        <v>489</v>
      </c>
      <c r="J553" s="420">
        <v>1088324.9464287905</v>
      </c>
      <c r="K553" s="101"/>
      <c r="L553" s="356">
        <f t="shared" si="71"/>
        <v>0</v>
      </c>
      <c r="M553" s="453"/>
      <c r="N553" s="68"/>
      <c r="O553" s="362" t="s">
        <v>1275</v>
      </c>
      <c r="P553" s="362" t="s">
        <v>881</v>
      </c>
      <c r="Q553" s="339"/>
    </row>
    <row r="554" spans="1:17" s="336" customFormat="1" ht="22.5">
      <c r="A554" s="240"/>
      <c r="B554" s="319">
        <f t="shared" si="70"/>
        <v>0</v>
      </c>
      <c r="C554" s="2"/>
      <c r="D554" s="398" t="s">
        <v>1398</v>
      </c>
      <c r="E554" s="362" t="str">
        <f>Lists!C530</f>
        <v>Clean, Unlined &gt; 2000 and &lt;= 3000 ML, Native</v>
      </c>
      <c r="F554" s="350"/>
      <c r="G554" s="353"/>
      <c r="H554" s="108"/>
      <c r="I554" s="362" t="s">
        <v>489</v>
      </c>
      <c r="J554" s="420">
        <v>1402935.893153789</v>
      </c>
      <c r="K554" s="101"/>
      <c r="L554" s="356">
        <f t="shared" si="71"/>
        <v>0</v>
      </c>
      <c r="M554" s="453"/>
      <c r="N554" s="68"/>
      <c r="O554" s="362" t="s">
        <v>1275</v>
      </c>
      <c r="P554" s="362" t="s">
        <v>881</v>
      </c>
      <c r="Q554" s="339"/>
    </row>
    <row r="555" spans="1:17" s="336" customFormat="1" ht="22.5">
      <c r="A555" s="240"/>
      <c r="B555" s="319">
        <f t="shared" si="70"/>
        <v>0</v>
      </c>
      <c r="C555" s="2"/>
      <c r="D555" s="398" t="s">
        <v>1399</v>
      </c>
      <c r="E555" s="362" t="str">
        <f>Lists!C531</f>
        <v>Clean, Unlined &gt; 3000 and &lt;= 4000 ML, Native</v>
      </c>
      <c r="F555" s="350"/>
      <c r="G555" s="353"/>
      <c r="H555" s="108"/>
      <c r="I555" s="362" t="s">
        <v>489</v>
      </c>
      <c r="J555" s="420">
        <v>1630816.2500241175</v>
      </c>
      <c r="K555" s="101"/>
      <c r="L555" s="356">
        <f t="shared" si="71"/>
        <v>0</v>
      </c>
      <c r="M555" s="453"/>
      <c r="N555" s="68"/>
      <c r="O555" s="362" t="s">
        <v>1275</v>
      </c>
      <c r="P555" s="362" t="s">
        <v>881</v>
      </c>
      <c r="Q555" s="339"/>
    </row>
    <row r="556" spans="1:17" s="336" customFormat="1" ht="22.5">
      <c r="A556" s="240"/>
      <c r="B556" s="319">
        <f t="shared" si="70"/>
        <v>0</v>
      </c>
      <c r="C556" s="2"/>
      <c r="D556" s="398" t="s">
        <v>1400</v>
      </c>
      <c r="E556" s="362" t="str">
        <f>Lists!C532</f>
        <v>Clean, Unlined &gt; 4000 and &lt;= 5000 ML, Native</v>
      </c>
      <c r="F556" s="350"/>
      <c r="G556" s="353"/>
      <c r="H556" s="18"/>
      <c r="I556" s="362" t="s">
        <v>489</v>
      </c>
      <c r="J556" s="420">
        <v>1898894.7964890101</v>
      </c>
      <c r="K556" s="101"/>
      <c r="L556" s="356">
        <f t="shared" si="71"/>
        <v>0</v>
      </c>
      <c r="M556" s="453"/>
      <c r="N556" s="68"/>
      <c r="O556" s="362" t="s">
        <v>1275</v>
      </c>
      <c r="P556" s="362" t="s">
        <v>881</v>
      </c>
      <c r="Q556" s="339"/>
    </row>
    <row r="557" spans="1:17" s="336" customFormat="1" ht="90">
      <c r="A557" s="240"/>
      <c r="B557" s="319">
        <f t="shared" si="70"/>
        <v>0</v>
      </c>
      <c r="C557" s="2"/>
      <c r="D557" s="398" t="s">
        <v>1401</v>
      </c>
      <c r="E557" s="362" t="str">
        <f>Lists!C533</f>
        <v>Clean, Unlined &gt; 0 and &lt;= 1 ML, Arid</v>
      </c>
      <c r="F557" s="350"/>
      <c r="G557" s="353"/>
      <c r="H557" s="18"/>
      <c r="I557" s="362" t="s">
        <v>489</v>
      </c>
      <c r="J557" s="420">
        <v>6544.1211594257093</v>
      </c>
      <c r="K557" s="101"/>
      <c r="L557" s="356">
        <f t="shared" si="71"/>
        <v>0</v>
      </c>
      <c r="M557" s="453"/>
      <c r="N557" s="68"/>
      <c r="O557" s="362" t="s">
        <v>1275</v>
      </c>
      <c r="P557" s="362" t="s">
        <v>1402</v>
      </c>
      <c r="Q557" s="339"/>
    </row>
    <row r="558" spans="1:17" s="336" customFormat="1" ht="22.5">
      <c r="A558" s="240"/>
      <c r="B558" s="319">
        <f t="shared" si="70"/>
        <v>0</v>
      </c>
      <c r="C558" s="2"/>
      <c r="D558" s="398" t="s">
        <v>1403</v>
      </c>
      <c r="E558" s="362" t="str">
        <f>Lists!C534</f>
        <v>Clean, Unlined &gt; 1 and &lt;= 3.5 ML, Arid</v>
      </c>
      <c r="F558" s="350"/>
      <c r="G558" s="353"/>
      <c r="H558" s="18"/>
      <c r="I558" s="362" t="s">
        <v>489</v>
      </c>
      <c r="J558" s="420">
        <v>13883.264746833691</v>
      </c>
      <c r="K558" s="101"/>
      <c r="L558" s="356">
        <f t="shared" si="71"/>
        <v>0</v>
      </c>
      <c r="M558" s="453"/>
      <c r="N558" s="68"/>
      <c r="O558" s="362" t="s">
        <v>1275</v>
      </c>
      <c r="P558" s="362" t="s">
        <v>881</v>
      </c>
      <c r="Q558" s="339"/>
    </row>
    <row r="559" spans="1:17" s="336" customFormat="1" ht="22.5">
      <c r="A559" s="240"/>
      <c r="B559" s="319">
        <f t="shared" si="70"/>
        <v>0</v>
      </c>
      <c r="C559" s="2"/>
      <c r="D559" s="398" t="s">
        <v>1404</v>
      </c>
      <c r="E559" s="362" t="str">
        <f>Lists!C535</f>
        <v>Clean, Unlined &gt; 3.5 and &lt;= 7.5 ML, Arid</v>
      </c>
      <c r="F559" s="350"/>
      <c r="G559" s="353"/>
      <c r="H559" s="18"/>
      <c r="I559" s="362" t="s">
        <v>489</v>
      </c>
      <c r="J559" s="420">
        <v>25997.681147792588</v>
      </c>
      <c r="K559" s="101"/>
      <c r="L559" s="356">
        <f t="shared" si="71"/>
        <v>0</v>
      </c>
      <c r="M559" s="453"/>
      <c r="N559" s="68"/>
      <c r="O559" s="362" t="s">
        <v>1275</v>
      </c>
      <c r="P559" s="362" t="s">
        <v>881</v>
      </c>
      <c r="Q559" s="339"/>
    </row>
    <row r="560" spans="1:17" s="336" customFormat="1" ht="22.5">
      <c r="A560" s="240"/>
      <c r="B560" s="319">
        <f t="shared" si="70"/>
        <v>0</v>
      </c>
      <c r="C560" s="2"/>
      <c r="D560" s="398" t="s">
        <v>1405</v>
      </c>
      <c r="E560" s="362" t="str">
        <f>Lists!C536</f>
        <v>Clean, Unlined &gt; 7.5 and &lt;= 10 ML, Arid</v>
      </c>
      <c r="F560" s="350"/>
      <c r="G560" s="353"/>
      <c r="H560" s="18"/>
      <c r="I560" s="362" t="s">
        <v>489</v>
      </c>
      <c r="J560" s="420">
        <v>34373.178222106377</v>
      </c>
      <c r="K560" s="101"/>
      <c r="L560" s="356">
        <f t="shared" si="71"/>
        <v>0</v>
      </c>
      <c r="M560" s="453"/>
      <c r="N560" s="68"/>
      <c r="O560" s="362" t="s">
        <v>1275</v>
      </c>
      <c r="P560" s="362" t="s">
        <v>881</v>
      </c>
      <c r="Q560" s="339"/>
    </row>
    <row r="561" spans="1:17" s="336" customFormat="1" ht="22.5">
      <c r="A561" s="240"/>
      <c r="B561" s="319">
        <f t="shared" si="70"/>
        <v>0</v>
      </c>
      <c r="C561" s="2"/>
      <c r="D561" s="398" t="s">
        <v>1406</v>
      </c>
      <c r="E561" s="362" t="str">
        <f>Lists!C537</f>
        <v>Clean, Unlined &gt; 10 and &lt;= 20 ML, Arid</v>
      </c>
      <c r="F561" s="350"/>
      <c r="G561" s="353"/>
      <c r="H561" s="18"/>
      <c r="I561" s="362" t="s">
        <v>489</v>
      </c>
      <c r="J561" s="420">
        <v>57398.148711156755</v>
      </c>
      <c r="K561" s="101"/>
      <c r="L561" s="356">
        <f t="shared" si="71"/>
        <v>0</v>
      </c>
      <c r="M561" s="453"/>
      <c r="N561" s="68"/>
      <c r="O561" s="362" t="s">
        <v>1275</v>
      </c>
      <c r="P561" s="362" t="s">
        <v>881</v>
      </c>
      <c r="Q561" s="339"/>
    </row>
    <row r="562" spans="1:17" s="336" customFormat="1" ht="22.5">
      <c r="A562" s="240"/>
      <c r="B562" s="319">
        <f t="shared" si="70"/>
        <v>0</v>
      </c>
      <c r="C562" s="2"/>
      <c r="D562" s="398" t="s">
        <v>1407</v>
      </c>
      <c r="E562" s="362" t="str">
        <f>Lists!C538</f>
        <v>Clean, Unlined &gt; 20 and &lt;= 50 ML, Arid</v>
      </c>
      <c r="F562" s="350"/>
      <c r="G562" s="353"/>
      <c r="H562" s="18"/>
      <c r="I562" s="362" t="s">
        <v>489</v>
      </c>
      <c r="J562" s="420">
        <v>83104.501346174467</v>
      </c>
      <c r="K562" s="101"/>
      <c r="L562" s="356">
        <f t="shared" si="71"/>
        <v>0</v>
      </c>
      <c r="M562" s="453"/>
      <c r="N562" s="68"/>
      <c r="O562" s="362" t="s">
        <v>1275</v>
      </c>
      <c r="P562" s="362" t="s">
        <v>881</v>
      </c>
      <c r="Q562" s="339"/>
    </row>
    <row r="563" spans="1:17" s="336" customFormat="1" ht="22.5">
      <c r="A563" s="240"/>
      <c r="B563" s="319">
        <f t="shared" si="70"/>
        <v>0</v>
      </c>
      <c r="C563" s="2"/>
      <c r="D563" s="398" t="s">
        <v>1408</v>
      </c>
      <c r="E563" s="362" t="str">
        <f>Lists!C539</f>
        <v>Clean, Unlined &gt; 50 and &lt;= 100 ML, Arid</v>
      </c>
      <c r="F563" s="350"/>
      <c r="G563" s="353"/>
      <c r="H563" s="18"/>
      <c r="I563" s="362" t="s">
        <v>489</v>
      </c>
      <c r="J563" s="420">
        <v>114771.81092517442</v>
      </c>
      <c r="K563" s="101"/>
      <c r="L563" s="356">
        <f t="shared" si="71"/>
        <v>0</v>
      </c>
      <c r="M563" s="453"/>
      <c r="N563" s="68"/>
      <c r="O563" s="362" t="s">
        <v>1275</v>
      </c>
      <c r="P563" s="362" t="s">
        <v>881</v>
      </c>
      <c r="Q563" s="339"/>
    </row>
    <row r="564" spans="1:17" s="336" customFormat="1" ht="22.5">
      <c r="A564" s="240"/>
      <c r="B564" s="319">
        <f t="shared" si="70"/>
        <v>0</v>
      </c>
      <c r="C564" s="2"/>
      <c r="D564" s="398" t="s">
        <v>1409</v>
      </c>
      <c r="E564" s="362" t="str">
        <f>Lists!C540</f>
        <v>Clean, Unlined &gt; 100 and &lt;= 200 ML, Arid</v>
      </c>
      <c r="F564" s="350"/>
      <c r="G564" s="353"/>
      <c r="H564" s="18"/>
      <c r="I564" s="362" t="s">
        <v>489</v>
      </c>
      <c r="J564" s="420">
        <v>172321.81291639758</v>
      </c>
      <c r="K564" s="101"/>
      <c r="L564" s="356">
        <f t="shared" si="71"/>
        <v>0</v>
      </c>
      <c r="M564" s="453"/>
      <c r="N564" s="68"/>
      <c r="O564" s="362" t="s">
        <v>1275</v>
      </c>
      <c r="P564" s="362" t="s">
        <v>881</v>
      </c>
      <c r="Q564" s="339"/>
    </row>
    <row r="565" spans="1:17" s="336" customFormat="1" ht="22.5">
      <c r="A565" s="240"/>
      <c r="B565" s="319">
        <f t="shared" si="70"/>
        <v>0</v>
      </c>
      <c r="C565" s="2"/>
      <c r="D565" s="398" t="s">
        <v>1410</v>
      </c>
      <c r="E565" s="362" t="str">
        <f>Lists!C541</f>
        <v>Clean, Unlined &gt; 200 and &lt;= 300 ML, Arid</v>
      </c>
      <c r="F565" s="350"/>
      <c r="G565" s="353"/>
      <c r="H565" s="18"/>
      <c r="I565" s="362" t="s">
        <v>489</v>
      </c>
      <c r="J565" s="420">
        <v>261763.76145275214</v>
      </c>
      <c r="K565" s="101"/>
      <c r="L565" s="356">
        <f t="shared" si="71"/>
        <v>0</v>
      </c>
      <c r="M565" s="453"/>
      <c r="N565" s="68"/>
      <c r="O565" s="362" t="s">
        <v>1275</v>
      </c>
      <c r="P565" s="362" t="s">
        <v>881</v>
      </c>
      <c r="Q565" s="339"/>
    </row>
    <row r="566" spans="1:17" s="336" customFormat="1" ht="22.5">
      <c r="A566" s="240"/>
      <c r="B566" s="319">
        <f t="shared" ref="B566:B629" si="72">IF(L566&gt;0,1,0)</f>
        <v>0</v>
      </c>
      <c r="C566" s="2"/>
      <c r="D566" s="398" t="s">
        <v>1411</v>
      </c>
      <c r="E566" s="362" t="str">
        <f>Lists!C542</f>
        <v>Clean, Unlined &gt; 300 and &lt;= 500 ML, Arid</v>
      </c>
      <c r="F566" s="350"/>
      <c r="G566" s="353"/>
      <c r="H566" s="18"/>
      <c r="I566" s="362" t="s">
        <v>489</v>
      </c>
      <c r="J566" s="420">
        <v>344749.1089559783</v>
      </c>
      <c r="K566" s="101"/>
      <c r="L566" s="356">
        <f t="shared" si="71"/>
        <v>0</v>
      </c>
      <c r="M566" s="453"/>
      <c r="N566" s="68"/>
      <c r="O566" s="362" t="s">
        <v>1275</v>
      </c>
      <c r="P566" s="362" t="s">
        <v>881</v>
      </c>
      <c r="Q566" s="339"/>
    </row>
    <row r="567" spans="1:17" s="336" customFormat="1" ht="22.5">
      <c r="A567" s="240"/>
      <c r="B567" s="319">
        <f t="shared" si="72"/>
        <v>0</v>
      </c>
      <c r="C567" s="2"/>
      <c r="D567" s="398" t="s">
        <v>1412</v>
      </c>
      <c r="E567" s="362" t="str">
        <f>Lists!C543</f>
        <v>Clean, Unlined &gt; 500 and &lt;= 1000 ML, Arid</v>
      </c>
      <c r="F567" s="350"/>
      <c r="G567" s="353"/>
      <c r="H567" s="18"/>
      <c r="I567" s="362" t="s">
        <v>489</v>
      </c>
      <c r="J567" s="420">
        <v>545646.56341709197</v>
      </c>
      <c r="K567" s="101"/>
      <c r="L567" s="356">
        <f t="shared" si="71"/>
        <v>0</v>
      </c>
      <c r="M567" s="453"/>
      <c r="N567" s="68"/>
      <c r="O567" s="362" t="s">
        <v>1275</v>
      </c>
      <c r="P567" s="362" t="s">
        <v>881</v>
      </c>
      <c r="Q567" s="339"/>
    </row>
    <row r="568" spans="1:17" s="336" customFormat="1" ht="22.5">
      <c r="A568" s="240"/>
      <c r="B568" s="319">
        <f t="shared" si="72"/>
        <v>0</v>
      </c>
      <c r="C568" s="2"/>
      <c r="D568" s="398" t="s">
        <v>1413</v>
      </c>
      <c r="E568" s="362" t="str">
        <f>Lists!C544</f>
        <v>Clean, Unlined &gt; 1000 and &lt;= 2000 ML, Arid</v>
      </c>
      <c r="F568" s="350"/>
      <c r="G568" s="353"/>
      <c r="H568" s="18"/>
      <c r="I568" s="362" t="s">
        <v>489</v>
      </c>
      <c r="J568" s="420">
        <v>809828.08604111045</v>
      </c>
      <c r="K568" s="101"/>
      <c r="L568" s="356">
        <f t="shared" si="71"/>
        <v>0</v>
      </c>
      <c r="M568" s="453"/>
      <c r="N568" s="68"/>
      <c r="O568" s="362" t="s">
        <v>1275</v>
      </c>
      <c r="P568" s="362" t="s">
        <v>881</v>
      </c>
      <c r="Q568" s="339"/>
    </row>
    <row r="569" spans="1:17" s="336" customFormat="1" ht="22.5">
      <c r="A569" s="240"/>
      <c r="B569" s="319">
        <f t="shared" si="72"/>
        <v>0</v>
      </c>
      <c r="C569" s="2"/>
      <c r="D569" s="398" t="s">
        <v>1414</v>
      </c>
      <c r="E569" s="362" t="str">
        <f>Lists!C545</f>
        <v>Clean, Unlined &gt; 2000 and &lt;= 3000 ML, Arid</v>
      </c>
      <c r="F569" s="350"/>
      <c r="G569" s="353"/>
      <c r="H569" s="18"/>
      <c r="I569" s="362" t="s">
        <v>489</v>
      </c>
      <c r="J569" s="420">
        <v>1031606.7459702158</v>
      </c>
      <c r="K569" s="101"/>
      <c r="L569" s="356">
        <f t="shared" si="71"/>
        <v>0</v>
      </c>
      <c r="M569" s="453"/>
      <c r="N569" s="68"/>
      <c r="O569" s="362" t="s">
        <v>1275</v>
      </c>
      <c r="P569" s="362" t="s">
        <v>881</v>
      </c>
      <c r="Q569" s="339"/>
    </row>
    <row r="570" spans="1:17" s="336" customFormat="1" ht="22.5">
      <c r="A570" s="240"/>
      <c r="B570" s="319">
        <f t="shared" si="72"/>
        <v>0</v>
      </c>
      <c r="C570" s="2"/>
      <c r="D570" s="398" t="s">
        <v>1415</v>
      </c>
      <c r="E570" s="362" t="str">
        <f>Lists!C546</f>
        <v>Clean, Unlined &gt; 3000 and &lt;= 4000 ML, Arid</v>
      </c>
      <c r="F570" s="350"/>
      <c r="G570" s="353"/>
      <c r="H570" s="18"/>
      <c r="I570" s="362" t="s">
        <v>489</v>
      </c>
      <c r="J570" s="420">
        <v>1208851.3100427841</v>
      </c>
      <c r="K570" s="101"/>
      <c r="L570" s="356">
        <f t="shared" si="71"/>
        <v>0</v>
      </c>
      <c r="M570" s="453"/>
      <c r="N570" s="68"/>
      <c r="O570" s="362" t="s">
        <v>1275</v>
      </c>
      <c r="P570" s="362" t="s">
        <v>881</v>
      </c>
      <c r="Q570" s="339"/>
    </row>
    <row r="571" spans="1:17" s="336" customFormat="1" ht="22.5">
      <c r="A571" s="240"/>
      <c r="B571" s="319">
        <f t="shared" si="72"/>
        <v>0</v>
      </c>
      <c r="C571" s="2"/>
      <c r="D571" s="398" t="s">
        <v>1416</v>
      </c>
      <c r="E571" s="362" t="str">
        <f>Lists!C547</f>
        <v>Clean, Unlined &gt; 4000 and &lt;= 5000 ML, Arid</v>
      </c>
      <c r="F571" s="350"/>
      <c r="G571" s="353"/>
      <c r="H571" s="18"/>
      <c r="I571" s="362" t="s">
        <v>489</v>
      </c>
      <c r="J571" s="420">
        <v>1426294.0637099168</v>
      </c>
      <c r="K571" s="101"/>
      <c r="L571" s="356">
        <f t="shared" si="71"/>
        <v>0</v>
      </c>
      <c r="M571" s="453"/>
      <c r="N571" s="68"/>
      <c r="O571" s="362" t="s">
        <v>1275</v>
      </c>
      <c r="P571" s="362" t="s">
        <v>881</v>
      </c>
      <c r="Q571" s="339"/>
    </row>
    <row r="572" spans="1:17" s="336" customFormat="1" ht="90">
      <c r="A572" s="240"/>
      <c r="B572" s="319">
        <f t="shared" si="72"/>
        <v>0</v>
      </c>
      <c r="C572" s="2"/>
      <c r="D572" s="398" t="s">
        <v>1417</v>
      </c>
      <c r="E572" s="362" t="str">
        <f>Subrates!C173</f>
        <v>0 to &lt;= 50 ML Contaminated, Lined, Pasture</v>
      </c>
      <c r="F572" s="350"/>
      <c r="G572" s="353"/>
      <c r="H572" s="18"/>
      <c r="I572" s="362" t="s">
        <v>119</v>
      </c>
      <c r="J572" s="420">
        <v>72862.066165017153</v>
      </c>
      <c r="K572" s="101"/>
      <c r="L572" s="356">
        <f t="shared" si="71"/>
        <v>0</v>
      </c>
      <c r="M572" s="453"/>
      <c r="N572" s="68"/>
      <c r="O572" s="362" t="s">
        <v>1418</v>
      </c>
      <c r="P572" s="362" t="s">
        <v>1276</v>
      </c>
      <c r="Q572" s="339"/>
    </row>
    <row r="573" spans="1:17" s="336" customFormat="1" ht="90">
      <c r="A573" s="240"/>
      <c r="B573" s="319">
        <f t="shared" si="72"/>
        <v>0</v>
      </c>
      <c r="C573" s="2"/>
      <c r="D573" s="398" t="s">
        <v>1419</v>
      </c>
      <c r="E573" s="362" t="str">
        <f>Subrates!C174</f>
        <v>0 to &lt;= 50 ML Contaminated, Lined, Native</v>
      </c>
      <c r="F573" s="350"/>
      <c r="G573" s="353"/>
      <c r="H573" s="18"/>
      <c r="I573" s="362" t="s">
        <v>119</v>
      </c>
      <c r="J573" s="420">
        <v>75403.066165017153</v>
      </c>
      <c r="K573" s="101"/>
      <c r="L573" s="356">
        <f t="shared" si="71"/>
        <v>0</v>
      </c>
      <c r="M573" s="453"/>
      <c r="N573" s="68"/>
      <c r="O573" s="362" t="s">
        <v>1418</v>
      </c>
      <c r="P573" s="362" t="s">
        <v>1292</v>
      </c>
      <c r="Q573" s="339"/>
    </row>
    <row r="574" spans="1:17" s="336" customFormat="1" ht="90">
      <c r="A574" s="240"/>
      <c r="B574" s="319">
        <f t="shared" si="72"/>
        <v>0</v>
      </c>
      <c r="C574" s="2"/>
      <c r="D574" s="398" t="s">
        <v>1420</v>
      </c>
      <c r="E574" s="362" t="str">
        <f>Subrates!C175</f>
        <v>0 to &lt;= 50 ML Contaminated, Lined, Arid</v>
      </c>
      <c r="F574" s="350"/>
      <c r="G574" s="353"/>
      <c r="H574" s="18"/>
      <c r="I574" s="362" t="s">
        <v>119</v>
      </c>
      <c r="J574" s="420">
        <v>69085.16676520383</v>
      </c>
      <c r="K574" s="101"/>
      <c r="L574" s="356">
        <f t="shared" si="71"/>
        <v>0</v>
      </c>
      <c r="M574" s="453"/>
      <c r="N574" s="68"/>
      <c r="O574" s="362" t="s">
        <v>1418</v>
      </c>
      <c r="P574" s="362" t="s">
        <v>1308</v>
      </c>
      <c r="Q574" s="339"/>
    </row>
    <row r="575" spans="1:17" s="336" customFormat="1" ht="90">
      <c r="A575" s="240"/>
      <c r="B575" s="319">
        <f t="shared" si="72"/>
        <v>0</v>
      </c>
      <c r="C575" s="2"/>
      <c r="D575" s="398" t="s">
        <v>1421</v>
      </c>
      <c r="E575" s="362" t="str">
        <f>Subrates!C176</f>
        <v>0 to &lt;= 50 ML Contaminated, Unlined, Pasture</v>
      </c>
      <c r="F575" s="350"/>
      <c r="G575" s="353"/>
      <c r="H575" s="18"/>
      <c r="I575" s="362" t="s">
        <v>119</v>
      </c>
      <c r="J575" s="420">
        <v>64367.295719381174</v>
      </c>
      <c r="K575" s="101"/>
      <c r="L575" s="356">
        <f t="shared" si="71"/>
        <v>0</v>
      </c>
      <c r="M575" s="453"/>
      <c r="N575" s="68"/>
      <c r="O575" s="362" t="s">
        <v>1418</v>
      </c>
      <c r="P575" s="362" t="s">
        <v>1422</v>
      </c>
      <c r="Q575" s="339"/>
    </row>
    <row r="576" spans="1:17" s="336" customFormat="1" ht="90">
      <c r="A576" s="240"/>
      <c r="B576" s="319">
        <f t="shared" si="72"/>
        <v>0</v>
      </c>
      <c r="C576" s="2"/>
      <c r="D576" s="398" t="s">
        <v>1423</v>
      </c>
      <c r="E576" s="362" t="str">
        <f>Subrates!C177</f>
        <v>0 to &lt;= 50 ML Contaminated, Unlined, Native</v>
      </c>
      <c r="F576" s="350"/>
      <c r="G576" s="353"/>
      <c r="H576" s="18"/>
      <c r="I576" s="362" t="s">
        <v>119</v>
      </c>
      <c r="J576" s="420">
        <v>66908.295719381174</v>
      </c>
      <c r="K576" s="101"/>
      <c r="L576" s="356">
        <f t="shared" si="71"/>
        <v>0</v>
      </c>
      <c r="M576" s="453"/>
      <c r="N576" s="68"/>
      <c r="O576" s="362" t="s">
        <v>1418</v>
      </c>
      <c r="P576" s="362" t="s">
        <v>1424</v>
      </c>
      <c r="Q576" s="339"/>
    </row>
    <row r="577" spans="1:17" s="336" customFormat="1" ht="90">
      <c r="A577" s="240"/>
      <c r="B577" s="319">
        <f t="shared" si="72"/>
        <v>0</v>
      </c>
      <c r="C577" s="2"/>
      <c r="D577" s="398" t="s">
        <v>1425</v>
      </c>
      <c r="E577" s="362" t="str">
        <f>Subrates!C178</f>
        <v>0 to &lt;= 50 ML Contaminated, Unlined, Arid</v>
      </c>
      <c r="F577" s="350"/>
      <c r="G577" s="353"/>
      <c r="H577" s="18"/>
      <c r="I577" s="362" t="s">
        <v>119</v>
      </c>
      <c r="J577" s="420">
        <v>60590.396319567852</v>
      </c>
      <c r="K577" s="101"/>
      <c r="L577" s="356">
        <f t="shared" si="71"/>
        <v>0</v>
      </c>
      <c r="M577" s="453"/>
      <c r="N577" s="68"/>
      <c r="O577" s="362" t="s">
        <v>1418</v>
      </c>
      <c r="P577" s="362" t="s">
        <v>1426</v>
      </c>
      <c r="Q577" s="339"/>
    </row>
    <row r="578" spans="1:17" s="336" customFormat="1" ht="90">
      <c r="A578" s="240"/>
      <c r="B578" s="319">
        <f t="shared" si="72"/>
        <v>0</v>
      </c>
      <c r="C578" s="2"/>
      <c r="D578" s="398" t="s">
        <v>1427</v>
      </c>
      <c r="E578" s="362" t="str">
        <f>Subrates!C179</f>
        <v>0 to &lt;= 50 ML Clean, Lined, Pasture</v>
      </c>
      <c r="F578" s="350"/>
      <c r="G578" s="353"/>
      <c r="H578" s="18"/>
      <c r="I578" s="362" t="s">
        <v>119</v>
      </c>
      <c r="J578" s="420">
        <v>64762.771970648268</v>
      </c>
      <c r="K578" s="101"/>
      <c r="L578" s="356">
        <f t="shared" si="71"/>
        <v>0</v>
      </c>
      <c r="M578" s="453"/>
      <c r="N578" s="68"/>
      <c r="O578" s="362" t="s">
        <v>1418</v>
      </c>
      <c r="P578" s="362" t="s">
        <v>1323</v>
      </c>
      <c r="Q578" s="339"/>
    </row>
    <row r="579" spans="1:17" s="336" customFormat="1" ht="90">
      <c r="A579" s="240"/>
      <c r="B579" s="319">
        <f t="shared" si="72"/>
        <v>0</v>
      </c>
      <c r="C579" s="2"/>
      <c r="D579" s="398" t="s">
        <v>1428</v>
      </c>
      <c r="E579" s="362" t="str">
        <f>Subrates!C180</f>
        <v>0 to &lt;= 50 ML Clean, Lined, Native</v>
      </c>
      <c r="F579" s="350"/>
      <c r="G579" s="353"/>
      <c r="H579" s="18"/>
      <c r="I579" s="362" t="s">
        <v>119</v>
      </c>
      <c r="J579" s="420">
        <v>67303.771970648275</v>
      </c>
      <c r="K579" s="101"/>
      <c r="L579" s="356">
        <f t="shared" si="71"/>
        <v>0</v>
      </c>
      <c r="M579" s="453"/>
      <c r="N579" s="68"/>
      <c r="O579" s="362" t="s">
        <v>1418</v>
      </c>
      <c r="P579" s="362" t="s">
        <v>1339</v>
      </c>
      <c r="Q579" s="339"/>
    </row>
    <row r="580" spans="1:17" s="336" customFormat="1" ht="90">
      <c r="A580" s="240"/>
      <c r="B580" s="319">
        <f t="shared" si="72"/>
        <v>0</v>
      </c>
      <c r="C580" s="2"/>
      <c r="D580" s="398" t="s">
        <v>1429</v>
      </c>
      <c r="E580" s="362" t="str">
        <f>Subrates!C181</f>
        <v>0 to &lt;= 50 ML Clean, Lined, Arid</v>
      </c>
      <c r="F580" s="350"/>
      <c r="G580" s="353"/>
      <c r="H580" s="18"/>
      <c r="I580" s="362" t="s">
        <v>119</v>
      </c>
      <c r="J580" s="420">
        <v>60985.872570834945</v>
      </c>
      <c r="K580" s="101"/>
      <c r="L580" s="356">
        <f t="shared" si="71"/>
        <v>0</v>
      </c>
      <c r="M580" s="453"/>
      <c r="N580" s="68"/>
      <c r="O580" s="362" t="s">
        <v>1418</v>
      </c>
      <c r="P580" s="362" t="s">
        <v>1354</v>
      </c>
      <c r="Q580" s="339"/>
    </row>
    <row r="581" spans="1:17" s="336" customFormat="1" ht="90">
      <c r="A581" s="240"/>
      <c r="B581" s="319">
        <f t="shared" si="72"/>
        <v>0</v>
      </c>
      <c r="C581" s="2"/>
      <c r="D581" s="398" t="s">
        <v>1430</v>
      </c>
      <c r="E581" s="362" t="str">
        <f>Subrates!C182</f>
        <v>0 to &lt;= 50 ML Clean, Unlined, Pasture</v>
      </c>
      <c r="F581" s="350"/>
      <c r="G581" s="353"/>
      <c r="H581" s="18"/>
      <c r="I581" s="362" t="s">
        <v>119</v>
      </c>
      <c r="J581" s="420">
        <v>55872.525273745188</v>
      </c>
      <c r="K581" s="101"/>
      <c r="L581" s="356">
        <f t="shared" si="71"/>
        <v>0</v>
      </c>
      <c r="M581" s="453"/>
      <c r="N581" s="68"/>
      <c r="O581" s="362" t="s">
        <v>1418</v>
      </c>
      <c r="P581" s="362" t="s">
        <v>1370</v>
      </c>
      <c r="Q581" s="339"/>
    </row>
    <row r="582" spans="1:17" s="336" customFormat="1" ht="90">
      <c r="A582" s="240"/>
      <c r="B582" s="319">
        <f t="shared" si="72"/>
        <v>0</v>
      </c>
      <c r="C582" s="2"/>
      <c r="D582" s="398" t="s">
        <v>1431</v>
      </c>
      <c r="E582" s="362" t="str">
        <f>Subrates!C183</f>
        <v>0 to &lt;= 50 ML Clean, Unlined, Native</v>
      </c>
      <c r="F582" s="350"/>
      <c r="G582" s="353"/>
      <c r="H582" s="18"/>
      <c r="I582" s="362" t="s">
        <v>119</v>
      </c>
      <c r="J582" s="420">
        <v>58413.525273745188</v>
      </c>
      <c r="K582" s="101"/>
      <c r="L582" s="356">
        <f t="shared" si="71"/>
        <v>0</v>
      </c>
      <c r="M582" s="453"/>
      <c r="N582" s="68"/>
      <c r="O582" s="362" t="s">
        <v>1418</v>
      </c>
      <c r="P582" s="362" t="s">
        <v>1386</v>
      </c>
      <c r="Q582" s="339"/>
    </row>
    <row r="583" spans="1:17" s="336" customFormat="1" ht="90">
      <c r="A583" s="240"/>
      <c r="B583" s="319">
        <f t="shared" si="72"/>
        <v>0</v>
      </c>
      <c r="C583" s="2"/>
      <c r="D583" s="398" t="s">
        <v>1432</v>
      </c>
      <c r="E583" s="362" t="str">
        <f>Subrates!C184</f>
        <v>0 to &lt;= 50 ML Clean, Unlined, Arid</v>
      </c>
      <c r="F583" s="350"/>
      <c r="G583" s="353"/>
      <c r="H583" s="18"/>
      <c r="I583" s="362" t="s">
        <v>119</v>
      </c>
      <c r="J583" s="420">
        <v>52095.625873931865</v>
      </c>
      <c r="K583" s="105"/>
      <c r="L583" s="356">
        <f t="shared" si="71"/>
        <v>0</v>
      </c>
      <c r="M583" s="453"/>
      <c r="N583" s="69"/>
      <c r="O583" s="362" t="s">
        <v>1418</v>
      </c>
      <c r="P583" s="362" t="s">
        <v>1402</v>
      </c>
      <c r="Q583" s="339"/>
    </row>
    <row r="584" spans="1:17" s="336" customFormat="1" ht="90">
      <c r="A584" s="240"/>
      <c r="B584" s="319">
        <f t="shared" si="72"/>
        <v>0</v>
      </c>
      <c r="C584" s="2"/>
      <c r="D584" s="398" t="s">
        <v>1433</v>
      </c>
      <c r="E584" s="362" t="str">
        <f>Subrates!C185</f>
        <v>&gt;50 ML to &lt;=200 ML Contaminated, Lined, Pasture</v>
      </c>
      <c r="F584" s="350"/>
      <c r="G584" s="353"/>
      <c r="H584" s="18"/>
      <c r="I584" s="362" t="s">
        <v>119</v>
      </c>
      <c r="J584" s="420">
        <v>62953.217957727087</v>
      </c>
      <c r="K584" s="105"/>
      <c r="L584" s="356">
        <f t="shared" si="71"/>
        <v>0</v>
      </c>
      <c r="M584" s="453"/>
      <c r="N584" s="69"/>
      <c r="O584" s="362" t="s">
        <v>1418</v>
      </c>
      <c r="P584" s="362" t="str">
        <f>P572</f>
        <v xml:space="preserve">
Removal and disposal of sludge (see Assumptions for thickness) and liner, earthworks to fill dams in using soil in berms, place growth media, grade and seed with pasture species. Land investigation included. Residual water and salt management not included and must be included separately if present.
</v>
      </c>
      <c r="Q584" s="339"/>
    </row>
    <row r="585" spans="1:17" s="336" customFormat="1" ht="90">
      <c r="A585" s="240"/>
      <c r="B585" s="319">
        <f t="shared" si="72"/>
        <v>0</v>
      </c>
      <c r="C585" s="2"/>
      <c r="D585" s="398" t="s">
        <v>1434</v>
      </c>
      <c r="E585" s="362" t="str">
        <f>Subrates!C186</f>
        <v>&gt;50 ML to &lt;=200 ML Contaminated, Lined, Native</v>
      </c>
      <c r="F585" s="350"/>
      <c r="G585" s="353"/>
      <c r="H585" s="18"/>
      <c r="I585" s="362" t="s">
        <v>119</v>
      </c>
      <c r="J585" s="420">
        <v>65494.217957727087</v>
      </c>
      <c r="K585" s="105"/>
      <c r="L585" s="356">
        <f t="shared" ref="L585:L619" si="73">IF(K585="",J585,K585)*H585</f>
        <v>0</v>
      </c>
      <c r="M585" s="453"/>
      <c r="N585" s="69"/>
      <c r="O585" s="362" t="s">
        <v>1418</v>
      </c>
      <c r="P585" s="362" t="str">
        <f t="shared" ref="P585:P619" si="74">P573</f>
        <v xml:space="preserve">
Removal and disposal of sludge (see Assumptions for thickness) and liner, earthworks to fill dams in using soil in berms, place growth media, grade and seed with native species. Land investigation included. Residual water and salt management not included and must be included separately if present.
</v>
      </c>
      <c r="Q585" s="339"/>
    </row>
    <row r="586" spans="1:17" s="336" customFormat="1" ht="90">
      <c r="A586" s="240"/>
      <c r="B586" s="319">
        <f t="shared" si="72"/>
        <v>0</v>
      </c>
      <c r="C586" s="2"/>
      <c r="D586" s="398" t="s">
        <v>1435</v>
      </c>
      <c r="E586" s="362" t="str">
        <f>Subrates!C187</f>
        <v>&gt;50 ML to &lt;=200 ML Contaminated, Lined, Arid</v>
      </c>
      <c r="F586" s="350"/>
      <c r="G586" s="353"/>
      <c r="H586" s="18"/>
      <c r="I586" s="362" t="s">
        <v>119</v>
      </c>
      <c r="J586" s="420">
        <v>57054.91915810042</v>
      </c>
      <c r="K586" s="105"/>
      <c r="L586" s="356">
        <f t="shared" si="73"/>
        <v>0</v>
      </c>
      <c r="M586" s="453"/>
      <c r="N586" s="69"/>
      <c r="O586" s="362" t="s">
        <v>1418</v>
      </c>
      <c r="P586" s="362" t="str">
        <f t="shared" si="74"/>
        <v xml:space="preserve">
Removal and disposal of sludge (see Assumptions for thickness) and liner, earthworks to fill dams in using soil in berms, no growth media or seed as in desert. Land investigation included. Residual water and salt management not included and must be included separately if present.
</v>
      </c>
      <c r="Q586" s="339"/>
    </row>
    <row r="587" spans="1:17" s="336" customFormat="1" ht="90">
      <c r="A587" s="240"/>
      <c r="B587" s="319">
        <f t="shared" si="72"/>
        <v>0</v>
      </c>
      <c r="C587" s="2"/>
      <c r="D587" s="398" t="s">
        <v>1436</v>
      </c>
      <c r="E587" s="362" t="str">
        <f>Subrates!C188</f>
        <v>&gt;50 ML to &lt;=200 ML Contaminated, Unlined, Pasture</v>
      </c>
      <c r="F587" s="350"/>
      <c r="G587" s="353"/>
      <c r="H587" s="18"/>
      <c r="I587" s="362" t="s">
        <v>119</v>
      </c>
      <c r="J587" s="420">
        <v>54626.211959696593</v>
      </c>
      <c r="K587" s="105"/>
      <c r="L587" s="356">
        <f t="shared" si="73"/>
        <v>0</v>
      </c>
      <c r="M587" s="453"/>
      <c r="N587" s="69"/>
      <c r="O587" s="362" t="s">
        <v>1418</v>
      </c>
      <c r="P587" s="362" t="str">
        <f t="shared" si="74"/>
        <v xml:space="preserve">
Removal and disposal of sludge (see Assumptions for thickness), earthworks to fill dams in using soil in berms, place growth media, grade and seed with pasture species. Land investigation included. Residual water and salt management not included and must be included separately if present.
</v>
      </c>
      <c r="Q587" s="339"/>
    </row>
    <row r="588" spans="1:17" s="336" customFormat="1" ht="90">
      <c r="A588" s="240"/>
      <c r="B588" s="319">
        <f t="shared" si="72"/>
        <v>0</v>
      </c>
      <c r="C588" s="2"/>
      <c r="D588" s="398" t="s">
        <v>1437</v>
      </c>
      <c r="E588" s="362" t="str">
        <f>Subrates!C189</f>
        <v>&gt;50 ML to &lt;=200 ML Contaminated, Unlined, Native</v>
      </c>
      <c r="F588" s="350"/>
      <c r="G588" s="353"/>
      <c r="H588" s="18"/>
      <c r="I588" s="362" t="s">
        <v>119</v>
      </c>
      <c r="J588" s="420">
        <v>57167.211959696593</v>
      </c>
      <c r="K588" s="105"/>
      <c r="L588" s="356">
        <f t="shared" si="73"/>
        <v>0</v>
      </c>
      <c r="M588" s="453"/>
      <c r="N588" s="69"/>
      <c r="O588" s="362" t="s">
        <v>1418</v>
      </c>
      <c r="P588" s="362" t="str">
        <f t="shared" si="74"/>
        <v xml:space="preserve">
Removal and disposal of sludge (see Assumptions for thickness), earthworks to fill dams in using soil in berms, place growth media, grade and seed with native species. Land investigation included. Residual water and salt management not included and must be included separately if present.
</v>
      </c>
      <c r="Q588" s="339"/>
    </row>
    <row r="589" spans="1:17" s="336" customFormat="1" ht="90">
      <c r="A589" s="240"/>
      <c r="B589" s="319">
        <f t="shared" si="72"/>
        <v>0</v>
      </c>
      <c r="C589" s="2"/>
      <c r="D589" s="398" t="s">
        <v>1438</v>
      </c>
      <c r="E589" s="362" t="str">
        <f>Subrates!C190</f>
        <v>&gt;50 ML to &lt;=200 ML Contaminated, Unlined, Arid</v>
      </c>
      <c r="F589" s="350"/>
      <c r="G589" s="353"/>
      <c r="H589" s="18"/>
      <c r="I589" s="362" t="s">
        <v>119</v>
      </c>
      <c r="J589" s="420">
        <v>48727.913160069933</v>
      </c>
      <c r="K589" s="105"/>
      <c r="L589" s="356">
        <f t="shared" si="73"/>
        <v>0</v>
      </c>
      <c r="M589" s="453"/>
      <c r="N589" s="69"/>
      <c r="O589" s="362" t="s">
        <v>1418</v>
      </c>
      <c r="P589" s="362" t="str">
        <f t="shared" si="74"/>
        <v xml:space="preserve">
Removal and disposal of sludge (see Assumptions for thickness), earthworks to fill dams in using soil in berms, no growth media or seed as in desert. Land investigation included. Residual water and salt management not included and must be included separately if present.
</v>
      </c>
      <c r="Q589" s="339"/>
    </row>
    <row r="590" spans="1:17" s="336" customFormat="1" ht="90">
      <c r="A590" s="240"/>
      <c r="B590" s="319">
        <f t="shared" si="72"/>
        <v>0</v>
      </c>
      <c r="C590" s="2"/>
      <c r="D590" s="398" t="s">
        <v>1439</v>
      </c>
      <c r="E590" s="362" t="str">
        <f>Subrates!C191</f>
        <v>&gt;50 ML to &lt;=200 ML Clean, Lined, Pasture</v>
      </c>
      <c r="F590" s="350"/>
      <c r="G590" s="353"/>
      <c r="H590" s="18"/>
      <c r="I590" s="362" t="s">
        <v>119</v>
      </c>
      <c r="J590" s="420">
        <v>55189.452658569193</v>
      </c>
      <c r="K590" s="105"/>
      <c r="L590" s="356">
        <f t="shared" si="73"/>
        <v>0</v>
      </c>
      <c r="M590" s="453"/>
      <c r="N590" s="69"/>
      <c r="O590" s="362" t="s">
        <v>1418</v>
      </c>
      <c r="P590" s="362" t="str">
        <f t="shared" si="74"/>
        <v xml:space="preserve">
Removal and disposal of sediment (see Assumptions for thickness) and liner, earthworks to fill dams in using soil in berms, place growth media, grade and seed with pasture species. Land investigation included. Residual water and salt management not included and must be included separately if present.
</v>
      </c>
      <c r="Q590" s="339"/>
    </row>
    <row r="591" spans="1:17" s="336" customFormat="1" ht="90">
      <c r="A591" s="240"/>
      <c r="B591" s="319">
        <f t="shared" si="72"/>
        <v>0</v>
      </c>
      <c r="C591" s="2"/>
      <c r="D591" s="398" t="s">
        <v>1440</v>
      </c>
      <c r="E591" s="362" t="str">
        <f>Subrates!C192</f>
        <v>&gt;50 ML to &lt;=200 ML Clean, Lined, Native</v>
      </c>
      <c r="F591" s="350"/>
      <c r="G591" s="353"/>
      <c r="H591" s="18"/>
      <c r="I591" s="362" t="s">
        <v>119</v>
      </c>
      <c r="J591" s="420">
        <v>57730.452658569186</v>
      </c>
      <c r="K591" s="105"/>
      <c r="L591" s="356">
        <f t="shared" si="73"/>
        <v>0</v>
      </c>
      <c r="M591" s="453"/>
      <c r="N591" s="69"/>
      <c r="O591" s="362" t="s">
        <v>1418</v>
      </c>
      <c r="P591" s="362" t="str">
        <f t="shared" si="74"/>
        <v xml:space="preserve">
Removal and disposal of sediment (see Assumptions for thickness) and liner, earthworks to fill dams in using soil in berms, place growth media, grade and seed with native species. Land investigation included. Residual water and salt management not included and must be included separately if present.
</v>
      </c>
      <c r="Q591" s="339"/>
    </row>
    <row r="592" spans="1:17" s="336" customFormat="1" ht="90">
      <c r="A592" s="240"/>
      <c r="B592" s="319">
        <f t="shared" si="72"/>
        <v>0</v>
      </c>
      <c r="C592" s="2"/>
      <c r="D592" s="398" t="s">
        <v>1441</v>
      </c>
      <c r="E592" s="362" t="str">
        <f>Subrates!C193</f>
        <v>&gt;50 ML to &lt;=200 ML Clean, Lined, Arid</v>
      </c>
      <c r="F592" s="350"/>
      <c r="G592" s="353"/>
      <c r="H592" s="18"/>
      <c r="I592" s="362" t="s">
        <v>119</v>
      </c>
      <c r="J592" s="420">
        <v>49291.153858942518</v>
      </c>
      <c r="K592" s="105"/>
      <c r="L592" s="356">
        <f t="shared" si="73"/>
        <v>0</v>
      </c>
      <c r="M592" s="453"/>
      <c r="N592" s="69"/>
      <c r="O592" s="362" t="s">
        <v>1418</v>
      </c>
      <c r="P592" s="362" t="str">
        <f t="shared" si="74"/>
        <v xml:space="preserve">
Removal and disposal of sediment (see Assumptions for thickness) and liner, earthworks to fill dams in using soil in berms, no growth media or seed as in desert. Land investigation included. Residual water and salt management not included and must be included separately if present.
</v>
      </c>
      <c r="Q592" s="339"/>
    </row>
    <row r="593" spans="1:17" s="336" customFormat="1" ht="90">
      <c r="A593" s="240"/>
      <c r="B593" s="319">
        <f t="shared" si="72"/>
        <v>0</v>
      </c>
      <c r="C593" s="2"/>
      <c r="D593" s="398" t="s">
        <v>1442</v>
      </c>
      <c r="E593" s="362" t="str">
        <f>Subrates!C194</f>
        <v>&gt;50 ML to &lt;=200 ML Clean, Unlined, Pasture</v>
      </c>
      <c r="F593" s="350"/>
      <c r="G593" s="353"/>
      <c r="H593" s="18"/>
      <c r="I593" s="362" t="s">
        <v>119</v>
      </c>
      <c r="J593" s="420">
        <v>46299.205961666099</v>
      </c>
      <c r="K593" s="105"/>
      <c r="L593" s="356">
        <f t="shared" si="73"/>
        <v>0</v>
      </c>
      <c r="M593" s="453"/>
      <c r="N593" s="69"/>
      <c r="O593" s="362" t="s">
        <v>1418</v>
      </c>
      <c r="P593" s="362" t="str">
        <f t="shared" si="74"/>
        <v xml:space="preserve">
Removal of sediment (see Assumptions for thickness), earthworks to fill dams in using soil in berms, place growth media, grade and seed with pasture species. Land investigation included. Residual water and salt management not included and must be included separately if present.
</v>
      </c>
      <c r="Q593" s="339"/>
    </row>
    <row r="594" spans="1:17" s="336" customFormat="1" ht="90">
      <c r="A594" s="240"/>
      <c r="B594" s="319">
        <f t="shared" si="72"/>
        <v>0</v>
      </c>
      <c r="C594" s="2"/>
      <c r="D594" s="398" t="s">
        <v>1443</v>
      </c>
      <c r="E594" s="362" t="str">
        <f>Subrates!C195</f>
        <v>&gt;50 ML to &lt;=200 ML Clean, Unlined, Native</v>
      </c>
      <c r="F594" s="350"/>
      <c r="G594" s="353"/>
      <c r="H594" s="18"/>
      <c r="I594" s="362" t="s">
        <v>119</v>
      </c>
      <c r="J594" s="420">
        <v>48840.205961666106</v>
      </c>
      <c r="K594" s="105"/>
      <c r="L594" s="356">
        <f t="shared" si="73"/>
        <v>0</v>
      </c>
      <c r="M594" s="453"/>
      <c r="N594" s="69"/>
      <c r="O594" s="362" t="s">
        <v>1418</v>
      </c>
      <c r="P594" s="362" t="str">
        <f t="shared" si="74"/>
        <v xml:space="preserve">
Removal of sediment (see Assumptions for thickness), earthworks to fill dams in using soil in berms, place growth media, grade and seed with native species. Land investigation included. Residual water and salt management not included and must be included separately if present.
</v>
      </c>
      <c r="Q594" s="339"/>
    </row>
    <row r="595" spans="1:17" s="336" customFormat="1" ht="90">
      <c r="A595" s="240"/>
      <c r="B595" s="319">
        <f t="shared" si="72"/>
        <v>0</v>
      </c>
      <c r="C595" s="2"/>
      <c r="D595" s="398" t="s">
        <v>1444</v>
      </c>
      <c r="E595" s="362" t="str">
        <f>Subrates!C196</f>
        <v>&gt;50 ML to &lt;=200 ML Clean, Unlined, Arid</v>
      </c>
      <c r="F595" s="350"/>
      <c r="G595" s="353"/>
      <c r="H595" s="18"/>
      <c r="I595" s="362" t="s">
        <v>119</v>
      </c>
      <c r="J595" s="420">
        <v>40400.907162039439</v>
      </c>
      <c r="K595" s="105"/>
      <c r="L595" s="356">
        <f t="shared" si="73"/>
        <v>0</v>
      </c>
      <c r="M595" s="453"/>
      <c r="N595" s="69"/>
      <c r="O595" s="362" t="s">
        <v>1418</v>
      </c>
      <c r="P595" s="362" t="str">
        <f t="shared" si="74"/>
        <v xml:space="preserve">
Removal of sediment (see Assumptions for thickness), earthworks to fill dams in using soil in berms. No growth media or grade and seed as in desert. Land investigation included. Residual water and salt management not included and must be included separately if present.
</v>
      </c>
      <c r="Q595" s="339"/>
    </row>
    <row r="596" spans="1:17" s="336" customFormat="1" ht="90">
      <c r="A596" s="240"/>
      <c r="B596" s="319">
        <f t="shared" si="72"/>
        <v>0</v>
      </c>
      <c r="C596" s="2"/>
      <c r="D596" s="398" t="s">
        <v>1445</v>
      </c>
      <c r="E596" s="362" t="str">
        <f>Subrates!C197</f>
        <v>&gt;200 ML to &lt;=1000 ML Contaminated, Lined, Pasture</v>
      </c>
      <c r="F596" s="350"/>
      <c r="G596" s="353"/>
      <c r="H596" s="18"/>
      <c r="I596" s="362" t="s">
        <v>119</v>
      </c>
      <c r="J596" s="420">
        <v>55670.121625581545</v>
      </c>
      <c r="K596" s="105"/>
      <c r="L596" s="356">
        <f t="shared" si="73"/>
        <v>0</v>
      </c>
      <c r="M596" s="453"/>
      <c r="N596" s="69"/>
      <c r="O596" s="362" t="s">
        <v>1418</v>
      </c>
      <c r="P596" s="362" t="str">
        <f t="shared" si="74"/>
        <v xml:space="preserve">
Removal and disposal of sludge (see Assumptions for thickness) and liner, earthworks to fill dams in using soil in berms, place growth media, grade and seed with pasture species. Land investigation included. Residual water and salt management not included and must be included separately if present.
</v>
      </c>
      <c r="Q596" s="339"/>
    </row>
    <row r="597" spans="1:17" s="336" customFormat="1" ht="90">
      <c r="A597" s="240"/>
      <c r="B597" s="319">
        <f t="shared" si="72"/>
        <v>0</v>
      </c>
      <c r="C597" s="2"/>
      <c r="D597" s="398" t="s">
        <v>1446</v>
      </c>
      <c r="E597" s="362" t="str">
        <f>Subrates!C198</f>
        <v>&gt;200 ML to &lt;=1000 ML Contaminated, Lined, Native</v>
      </c>
      <c r="F597" s="350"/>
      <c r="G597" s="353"/>
      <c r="H597" s="18"/>
      <c r="I597" s="362" t="s">
        <v>119</v>
      </c>
      <c r="J597" s="420">
        <v>58211.121625581545</v>
      </c>
      <c r="K597" s="105"/>
      <c r="L597" s="356">
        <f t="shared" si="73"/>
        <v>0</v>
      </c>
      <c r="M597" s="453"/>
      <c r="N597" s="69"/>
      <c r="O597" s="362" t="s">
        <v>1418</v>
      </c>
      <c r="P597" s="362" t="str">
        <f t="shared" si="74"/>
        <v xml:space="preserve">
Removal and disposal of sludge (see Assumptions for thickness) and liner, earthworks to fill dams in using soil in berms, place growth media, grade and seed with native species. Land investigation included. Residual water and salt management not included and must be included separately if present.
</v>
      </c>
      <c r="Q597" s="339"/>
    </row>
    <row r="598" spans="1:17" s="336" customFormat="1" ht="90">
      <c r="A598" s="240"/>
      <c r="B598" s="319">
        <f t="shared" si="72"/>
        <v>0</v>
      </c>
      <c r="C598" s="2"/>
      <c r="D598" s="398" t="s">
        <v>1447</v>
      </c>
      <c r="E598" s="362" t="str">
        <f>Subrates!C199</f>
        <v>&gt;200 ML to &lt;=1000 ML Contaminated, Lined, Arid</v>
      </c>
      <c r="F598" s="350"/>
      <c r="G598" s="353"/>
      <c r="H598" s="18"/>
      <c r="I598" s="362" t="s">
        <v>119</v>
      </c>
      <c r="J598" s="420">
        <v>49771.822825954878</v>
      </c>
      <c r="K598" s="105"/>
      <c r="L598" s="356">
        <f t="shared" si="73"/>
        <v>0</v>
      </c>
      <c r="M598" s="453"/>
      <c r="N598" s="69"/>
      <c r="O598" s="362" t="s">
        <v>1418</v>
      </c>
      <c r="P598" s="362" t="str">
        <f t="shared" si="74"/>
        <v xml:space="preserve">
Removal and disposal of sludge (see Assumptions for thickness) and liner, earthworks to fill dams in using soil in berms, no growth media or seed as in desert. Land investigation included. Residual water and salt management not included and must be included separately if present.
</v>
      </c>
      <c r="Q598" s="339"/>
    </row>
    <row r="599" spans="1:17" s="336" customFormat="1" ht="90">
      <c r="A599" s="240"/>
      <c r="B599" s="319">
        <f t="shared" si="72"/>
        <v>0</v>
      </c>
      <c r="C599" s="2"/>
      <c r="D599" s="398" t="s">
        <v>1448</v>
      </c>
      <c r="E599" s="362" t="str">
        <f>Subrates!C200</f>
        <v>&gt;200 ML to &lt;=1000 ML Contaminated, Unlined, Pasture</v>
      </c>
      <c r="F599" s="350"/>
      <c r="G599" s="353"/>
      <c r="H599" s="18"/>
      <c r="I599" s="362" t="s">
        <v>119</v>
      </c>
      <c r="J599" s="420">
        <v>47510.880075156543</v>
      </c>
      <c r="K599" s="105"/>
      <c r="L599" s="356">
        <f t="shared" si="73"/>
        <v>0</v>
      </c>
      <c r="M599" s="453"/>
      <c r="N599" s="69"/>
      <c r="O599" s="362" t="s">
        <v>1418</v>
      </c>
      <c r="P599" s="362" t="str">
        <f t="shared" si="74"/>
        <v xml:space="preserve">
Removal and disposal of sludge (see Assumptions for thickness), earthworks to fill dams in using soil in berms, place growth media, grade and seed with pasture species. Land investigation included. Residual water and salt management not included and must be included separately if present.
</v>
      </c>
      <c r="Q599" s="339"/>
    </row>
    <row r="600" spans="1:17" s="336" customFormat="1" ht="90">
      <c r="A600" s="240"/>
      <c r="B600" s="319">
        <f t="shared" si="72"/>
        <v>0</v>
      </c>
      <c r="C600" s="2"/>
      <c r="D600" s="398" t="s">
        <v>1449</v>
      </c>
      <c r="E600" s="362" t="str">
        <f>Subrates!C201</f>
        <v>&gt;200 ML to &lt;=1000 ML Contaminated, Unlined, Native</v>
      </c>
      <c r="F600" s="350"/>
      <c r="G600" s="353"/>
      <c r="H600" s="18"/>
      <c r="I600" s="362" t="s">
        <v>119</v>
      </c>
      <c r="J600" s="420">
        <v>50051.880075156543</v>
      </c>
      <c r="K600" s="105"/>
      <c r="L600" s="356">
        <f t="shared" si="73"/>
        <v>0</v>
      </c>
      <c r="M600" s="453"/>
      <c r="N600" s="69"/>
      <c r="O600" s="362" t="s">
        <v>1418</v>
      </c>
      <c r="P600" s="362" t="str">
        <f t="shared" si="74"/>
        <v xml:space="preserve">
Removal and disposal of sludge (see Assumptions for thickness), earthworks to fill dams in using soil in berms, place growth media, grade and seed with native species. Land investigation included. Residual water and salt management not included and must be included separately if present.
</v>
      </c>
      <c r="Q600" s="339"/>
    </row>
    <row r="601" spans="1:17" s="336" customFormat="1" ht="90">
      <c r="A601" s="240"/>
      <c r="B601" s="319">
        <f t="shared" si="72"/>
        <v>0</v>
      </c>
      <c r="C601" s="2"/>
      <c r="D601" s="398" t="s">
        <v>1450</v>
      </c>
      <c r="E601" s="362" t="str">
        <f>Subrates!C202</f>
        <v>&gt;200 ML to &lt;=1000 ML Contaminated, Unlined, Arid</v>
      </c>
      <c r="F601" s="350"/>
      <c r="G601" s="353"/>
      <c r="H601" s="18"/>
      <c r="I601" s="362" t="s">
        <v>119</v>
      </c>
      <c r="J601" s="420">
        <v>41612.581275529883</v>
      </c>
      <c r="K601" s="105"/>
      <c r="L601" s="356">
        <f t="shared" si="73"/>
        <v>0</v>
      </c>
      <c r="M601" s="453"/>
      <c r="N601" s="69"/>
      <c r="O601" s="362" t="s">
        <v>1418</v>
      </c>
      <c r="P601" s="362" t="str">
        <f t="shared" si="74"/>
        <v xml:space="preserve">
Removal and disposal of sludge (see Assumptions for thickness), earthworks to fill dams in using soil in berms, no growth media or seed as in desert. Land investigation included. Residual water and salt management not included and must be included separately if present.
</v>
      </c>
      <c r="Q601" s="339"/>
    </row>
    <row r="602" spans="1:17" s="336" customFormat="1" ht="90">
      <c r="A602" s="240"/>
      <c r="B602" s="319">
        <f t="shared" si="72"/>
        <v>0</v>
      </c>
      <c r="C602" s="2"/>
      <c r="D602" s="398" t="s">
        <v>1451</v>
      </c>
      <c r="E602" s="362" t="str">
        <f>Subrates!C203</f>
        <v>&gt;200 ML to &lt;=1000 ML Clean, Lined, Pasture</v>
      </c>
      <c r="F602" s="350"/>
      <c r="G602" s="353"/>
      <c r="H602" s="18"/>
      <c r="I602" s="362" t="s">
        <v>119</v>
      </c>
      <c r="J602" s="420">
        <v>48241.885221634635</v>
      </c>
      <c r="K602" s="105"/>
      <c r="L602" s="356">
        <f t="shared" si="73"/>
        <v>0</v>
      </c>
      <c r="M602" s="453"/>
      <c r="N602" s="69"/>
      <c r="O602" s="362" t="s">
        <v>1418</v>
      </c>
      <c r="P602" s="362" t="str">
        <f t="shared" si="74"/>
        <v xml:space="preserve">
Removal and disposal of sediment (see Assumptions for thickness) and liner, earthworks to fill dams in using soil in berms, place growth media, grade and seed with pasture species. Land investigation included. Residual water and salt management not included and must be included separately if present.
</v>
      </c>
      <c r="Q602" s="339"/>
    </row>
    <row r="603" spans="1:17" s="336" customFormat="1" ht="90">
      <c r="A603" s="240"/>
      <c r="B603" s="319">
        <f t="shared" si="72"/>
        <v>0</v>
      </c>
      <c r="C603" s="2"/>
      <c r="D603" s="398" t="s">
        <v>1452</v>
      </c>
      <c r="E603" s="362" t="str">
        <f>Subrates!C204</f>
        <v>&gt;200 ML to &lt;=1000 ML Clean, Lined, Native</v>
      </c>
      <c r="F603" s="350"/>
      <c r="G603" s="353"/>
      <c r="H603" s="18"/>
      <c r="I603" s="362" t="s">
        <v>119</v>
      </c>
      <c r="J603" s="420">
        <v>50782.885221634635</v>
      </c>
      <c r="K603" s="105"/>
      <c r="L603" s="356">
        <f t="shared" si="73"/>
        <v>0</v>
      </c>
      <c r="M603" s="453"/>
      <c r="N603" s="69"/>
      <c r="O603" s="362" t="s">
        <v>1418</v>
      </c>
      <c r="P603" s="362" t="str">
        <f t="shared" si="74"/>
        <v xml:space="preserve">
Removal and disposal of sediment (see Assumptions for thickness) and liner, earthworks to fill dams in using soil in berms, place growth media, grade and seed with native species. Land investigation included. Residual water and salt management not included and must be included separately if present.
</v>
      </c>
      <c r="Q603" s="339"/>
    </row>
    <row r="604" spans="1:17" s="336" customFormat="1" ht="90">
      <c r="A604" s="240"/>
      <c r="B604" s="319">
        <f t="shared" si="72"/>
        <v>0</v>
      </c>
      <c r="C604" s="2"/>
      <c r="D604" s="398" t="s">
        <v>1453</v>
      </c>
      <c r="E604" s="362" t="str">
        <f>Subrates!C205</f>
        <v>&gt;200 ML to &lt;=1000 ML Clean, Lined, Arid</v>
      </c>
      <c r="F604" s="350"/>
      <c r="G604" s="353"/>
      <c r="H604" s="18"/>
      <c r="I604" s="362" t="s">
        <v>119</v>
      </c>
      <c r="J604" s="420">
        <v>42343.58642200796</v>
      </c>
      <c r="K604" s="105"/>
      <c r="L604" s="356">
        <f t="shared" si="73"/>
        <v>0</v>
      </c>
      <c r="M604" s="453"/>
      <c r="N604" s="69"/>
      <c r="O604" s="362" t="s">
        <v>1418</v>
      </c>
      <c r="P604" s="362" t="str">
        <f t="shared" si="74"/>
        <v xml:space="preserve">
Removal and disposal of sediment (see Assumptions for thickness) and liner, earthworks to fill dams in using soil in berms, no growth media or seed as in desert. Land investigation included. Residual water and salt management not included and must be included separately if present.
</v>
      </c>
      <c r="Q604" s="339"/>
    </row>
    <row r="605" spans="1:17" s="336" customFormat="1" ht="90">
      <c r="A605" s="240"/>
      <c r="B605" s="319">
        <f t="shared" si="72"/>
        <v>0</v>
      </c>
      <c r="C605" s="2"/>
      <c r="D605" s="398" t="s">
        <v>1454</v>
      </c>
      <c r="E605" s="362" t="str">
        <f>Subrates!C206</f>
        <v>&gt;200 ML to &lt;=1000 ML Clean, Unlined, Pasture</v>
      </c>
      <c r="F605" s="350"/>
      <c r="G605" s="353"/>
      <c r="H605" s="18"/>
      <c r="I605" s="362" t="s">
        <v>119</v>
      </c>
      <c r="J605" s="420">
        <v>39351.638524731541</v>
      </c>
      <c r="K605" s="105"/>
      <c r="L605" s="356">
        <f t="shared" si="73"/>
        <v>0</v>
      </c>
      <c r="M605" s="453"/>
      <c r="N605" s="69"/>
      <c r="O605" s="362" t="s">
        <v>1418</v>
      </c>
      <c r="P605" s="362" t="str">
        <f t="shared" si="74"/>
        <v xml:space="preserve">
Removal of sediment (see Assumptions for thickness), earthworks to fill dams in using soil in berms, place growth media, grade and seed with pasture species. Land investigation included. Residual water and salt management not included and must be included separately if present.
</v>
      </c>
      <c r="Q605" s="339"/>
    </row>
    <row r="606" spans="1:17" s="336" customFormat="1" ht="90">
      <c r="A606" s="240"/>
      <c r="B606" s="319">
        <f t="shared" si="72"/>
        <v>0</v>
      </c>
      <c r="C606" s="2"/>
      <c r="D606" s="398" t="s">
        <v>1455</v>
      </c>
      <c r="E606" s="362" t="str">
        <f>Subrates!C207</f>
        <v>&gt;200 ML to &lt;=1000 ML Clean, Unlined, Native</v>
      </c>
      <c r="F606" s="350"/>
      <c r="G606" s="353"/>
      <c r="H606" s="18"/>
      <c r="I606" s="362" t="s">
        <v>119</v>
      </c>
      <c r="J606" s="420">
        <v>41892.638524731541</v>
      </c>
      <c r="K606" s="105"/>
      <c r="L606" s="356">
        <f t="shared" si="73"/>
        <v>0</v>
      </c>
      <c r="M606" s="453"/>
      <c r="N606" s="69"/>
      <c r="O606" s="362" t="s">
        <v>1418</v>
      </c>
      <c r="P606" s="362" t="str">
        <f t="shared" si="74"/>
        <v xml:space="preserve">
Removal of sediment (see Assumptions for thickness), earthworks to fill dams in using soil in berms, place growth media, grade and seed with native species. Land investigation included. Residual water and salt management not included and must be included separately if present.
</v>
      </c>
      <c r="Q606" s="339"/>
    </row>
    <row r="607" spans="1:17" s="336" customFormat="1" ht="90">
      <c r="A607" s="240"/>
      <c r="B607" s="319">
        <f t="shared" si="72"/>
        <v>0</v>
      </c>
      <c r="C607" s="2"/>
      <c r="D607" s="398" t="s">
        <v>1456</v>
      </c>
      <c r="E607" s="362" t="str">
        <f>Subrates!C208</f>
        <v>&gt;200 ML to &lt;=1000 ML Clean, Unlined, Arid</v>
      </c>
      <c r="F607" s="350"/>
      <c r="G607" s="353"/>
      <c r="H607" s="18"/>
      <c r="I607" s="362" t="s">
        <v>119</v>
      </c>
      <c r="J607" s="420">
        <v>33453.339725104881</v>
      </c>
      <c r="K607" s="105"/>
      <c r="L607" s="356">
        <f t="shared" si="73"/>
        <v>0</v>
      </c>
      <c r="M607" s="453"/>
      <c r="N607" s="69"/>
      <c r="O607" s="362" t="s">
        <v>1418</v>
      </c>
      <c r="P607" s="362" t="str">
        <f t="shared" si="74"/>
        <v xml:space="preserve">
Removal of sediment (see Assumptions for thickness), earthworks to fill dams in using soil in berms. No growth media or grade and seed as in desert. Land investigation included. Residual water and salt management not included and must be included separately if present.
</v>
      </c>
      <c r="Q607" s="339"/>
    </row>
    <row r="608" spans="1:17" s="336" customFormat="1" ht="90">
      <c r="A608" s="240"/>
      <c r="B608" s="319">
        <f t="shared" si="72"/>
        <v>0</v>
      </c>
      <c r="C608" s="2"/>
      <c r="D608" s="398" t="s">
        <v>1457</v>
      </c>
      <c r="E608" s="362" t="str">
        <f>Subrates!C209</f>
        <v>&gt;1000 to &lt;=5000 ML Contaminated, Lined, Pasture</v>
      </c>
      <c r="F608" s="350"/>
      <c r="G608" s="353"/>
      <c r="H608" s="18"/>
      <c r="I608" s="362" t="s">
        <v>119</v>
      </c>
      <c r="J608" s="420">
        <v>43923.259841744548</v>
      </c>
      <c r="K608" s="105"/>
      <c r="L608" s="356">
        <f t="shared" si="73"/>
        <v>0</v>
      </c>
      <c r="M608" s="453"/>
      <c r="N608" s="69"/>
      <c r="O608" s="362" t="s">
        <v>1418</v>
      </c>
      <c r="P608" s="362" t="str">
        <f t="shared" si="74"/>
        <v xml:space="preserve">
Removal and disposal of sludge (see Assumptions for thickness) and liner, earthworks to fill dams in using soil in berms, place growth media, grade and seed with pasture species. Land investigation included. Residual water and salt management not included and must be included separately if present.
</v>
      </c>
      <c r="Q608" s="339"/>
    </row>
    <row r="609" spans="1:17" s="336" customFormat="1" ht="90">
      <c r="A609" s="240"/>
      <c r="B609" s="319">
        <f t="shared" si="72"/>
        <v>0</v>
      </c>
      <c r="C609" s="2"/>
      <c r="D609" s="398" t="s">
        <v>1458</v>
      </c>
      <c r="E609" s="362" t="str">
        <f>Subrates!C210</f>
        <v>&gt;1000 to &lt;=5000 ML Contaminated, Lined, Native</v>
      </c>
      <c r="F609" s="350"/>
      <c r="G609" s="353"/>
      <c r="H609" s="18"/>
      <c r="I609" s="362" t="s">
        <v>119</v>
      </c>
      <c r="J609" s="420">
        <v>46464.259841744541</v>
      </c>
      <c r="K609" s="105"/>
      <c r="L609" s="356">
        <f t="shared" si="73"/>
        <v>0</v>
      </c>
      <c r="M609" s="453"/>
      <c r="N609" s="69"/>
      <c r="O609" s="362" t="s">
        <v>1418</v>
      </c>
      <c r="P609" s="362" t="str">
        <f t="shared" si="74"/>
        <v xml:space="preserve">
Removal and disposal of sludge (see Assumptions for thickness) and liner, earthworks to fill dams in using soil in berms, place growth media, grade and seed with native species. Land investigation included. Residual water and salt management not included and must be included separately if present.
</v>
      </c>
      <c r="Q609" s="339"/>
    </row>
    <row r="610" spans="1:17" s="336" customFormat="1" ht="90">
      <c r="A610" s="240"/>
      <c r="B610" s="319">
        <f t="shared" si="72"/>
        <v>0</v>
      </c>
      <c r="C610" s="2"/>
      <c r="D610" s="398" t="s">
        <v>1459</v>
      </c>
      <c r="E610" s="362" t="str">
        <f>Subrates!C211</f>
        <v>&gt;1000 to &lt;=5000 ML Contaminated, Lined, Arid</v>
      </c>
      <c r="F610" s="350"/>
      <c r="G610" s="353"/>
      <c r="H610" s="18"/>
      <c r="I610" s="362" t="s">
        <v>119</v>
      </c>
      <c r="J610" s="420">
        <v>38024.96104211788</v>
      </c>
      <c r="K610" s="105"/>
      <c r="L610" s="356">
        <f t="shared" si="73"/>
        <v>0</v>
      </c>
      <c r="M610" s="453"/>
      <c r="N610" s="69"/>
      <c r="O610" s="362" t="s">
        <v>1418</v>
      </c>
      <c r="P610" s="362" t="str">
        <f t="shared" si="74"/>
        <v xml:space="preserve">
Removal and disposal of sludge (see Assumptions for thickness) and liner, earthworks to fill dams in using soil in berms, no growth media or seed as in desert. Land investigation included. Residual water and salt management not included and must be included separately if present.
</v>
      </c>
      <c r="Q610" s="339"/>
    </row>
    <row r="611" spans="1:17" s="336" customFormat="1" ht="90">
      <c r="A611" s="240"/>
      <c r="B611" s="319">
        <f t="shared" si="72"/>
        <v>0</v>
      </c>
      <c r="C611" s="2"/>
      <c r="D611" s="398" t="s">
        <v>1460</v>
      </c>
      <c r="E611" s="362" t="str">
        <f>Subrates!C212</f>
        <v>&gt;1000 to &lt;=5000 ML Contaminated, Unlined, Pasture</v>
      </c>
      <c r="F611" s="350"/>
      <c r="G611" s="353"/>
      <c r="H611" s="18"/>
      <c r="I611" s="362" t="s">
        <v>119</v>
      </c>
      <c r="J611" s="420">
        <v>37114.831314101451</v>
      </c>
      <c r="K611" s="105"/>
      <c r="L611" s="356">
        <f t="shared" si="73"/>
        <v>0</v>
      </c>
      <c r="M611" s="453"/>
      <c r="N611" s="69"/>
      <c r="O611" s="362" t="s">
        <v>1418</v>
      </c>
      <c r="P611" s="362" t="str">
        <f t="shared" si="74"/>
        <v xml:space="preserve">
Removal and disposal of sludge (see Assumptions for thickness), earthworks to fill dams in using soil in berms, place growth media, grade and seed with pasture species. Land investigation included. Residual water and salt management not included and must be included separately if present.
</v>
      </c>
      <c r="Q611" s="339"/>
    </row>
    <row r="612" spans="1:17" s="336" customFormat="1" ht="90">
      <c r="A612" s="240"/>
      <c r="B612" s="319">
        <f t="shared" si="72"/>
        <v>0</v>
      </c>
      <c r="C612" s="2"/>
      <c r="D612" s="398" t="s">
        <v>1461</v>
      </c>
      <c r="E612" s="362" t="str">
        <f>Subrates!C213</f>
        <v>&gt;1000 to &lt;=5000 ML Contaminated, Unlined, Native</v>
      </c>
      <c r="F612" s="350"/>
      <c r="G612" s="353"/>
      <c r="H612" s="18"/>
      <c r="I612" s="362" t="s">
        <v>119</v>
      </c>
      <c r="J612" s="420">
        <v>39655.831314101444</v>
      </c>
      <c r="K612" s="105"/>
      <c r="L612" s="356">
        <f t="shared" si="73"/>
        <v>0</v>
      </c>
      <c r="M612" s="453"/>
      <c r="N612" s="69"/>
      <c r="O612" s="362" t="s">
        <v>1418</v>
      </c>
      <c r="P612" s="362" t="str">
        <f t="shared" si="74"/>
        <v xml:space="preserve">
Removal and disposal of sludge (see Assumptions for thickness), earthworks to fill dams in using soil in berms, place growth media, grade and seed with native species. Land investigation included. Residual water and salt management not included and must be included separately if present.
</v>
      </c>
      <c r="Q612" s="339"/>
    </row>
    <row r="613" spans="1:17" s="336" customFormat="1" ht="90">
      <c r="A613" s="240"/>
      <c r="B613" s="319">
        <f t="shared" si="72"/>
        <v>0</v>
      </c>
      <c r="C613" s="2"/>
      <c r="D613" s="398" t="s">
        <v>1462</v>
      </c>
      <c r="E613" s="362" t="str">
        <f>Subrates!C214</f>
        <v>&gt;1000 to &lt;=5000 ML Contaminated, Unlined, Arid</v>
      </c>
      <c r="F613" s="350"/>
      <c r="G613" s="353"/>
      <c r="H613" s="18"/>
      <c r="I613" s="362" t="s">
        <v>119</v>
      </c>
      <c r="J613" s="420">
        <v>31216.53251447478</v>
      </c>
      <c r="K613" s="105"/>
      <c r="L613" s="356">
        <f t="shared" si="73"/>
        <v>0</v>
      </c>
      <c r="M613" s="453"/>
      <c r="N613" s="69"/>
      <c r="O613" s="362" t="s">
        <v>1418</v>
      </c>
      <c r="P613" s="362" t="str">
        <f t="shared" si="74"/>
        <v xml:space="preserve">
Removal and disposal of sludge (see Assumptions for thickness), earthworks to fill dams in using soil in berms, no growth media or seed as in desert. Land investigation included. Residual water and salt management not included and must be included separately if present.
</v>
      </c>
      <c r="Q613" s="339"/>
    </row>
    <row r="614" spans="1:17" s="336" customFormat="1" ht="90">
      <c r="A614" s="240"/>
      <c r="B614" s="319">
        <f t="shared" si="72"/>
        <v>0</v>
      </c>
      <c r="C614" s="2"/>
      <c r="D614" s="398" t="s">
        <v>1463</v>
      </c>
      <c r="E614" s="362" t="str">
        <f>Subrates!C215</f>
        <v>&gt;1000 to &lt;=5000 ML Clean, Lined, Pasture</v>
      </c>
      <c r="F614" s="350"/>
      <c r="G614" s="353"/>
      <c r="H614" s="18"/>
      <c r="I614" s="362" t="s">
        <v>119</v>
      </c>
      <c r="J614" s="420">
        <v>39196.649483361427</v>
      </c>
      <c r="K614" s="105"/>
      <c r="L614" s="356">
        <f t="shared" si="73"/>
        <v>0</v>
      </c>
      <c r="M614" s="453"/>
      <c r="N614" s="69"/>
      <c r="O614" s="362" t="s">
        <v>1418</v>
      </c>
      <c r="P614" s="362" t="str">
        <f t="shared" si="74"/>
        <v xml:space="preserve">
Removal and disposal of sediment (see Assumptions for thickness) and liner, earthworks to fill dams in using soil in berms, place growth media, grade and seed with pasture species. Land investigation included. Residual water and salt management not included and must be included separately if present.
</v>
      </c>
      <c r="Q614" s="339"/>
    </row>
    <row r="615" spans="1:17" s="336" customFormat="1" ht="90">
      <c r="A615" s="240"/>
      <c r="B615" s="319">
        <f t="shared" si="72"/>
        <v>0</v>
      </c>
      <c r="C615" s="2"/>
      <c r="D615" s="398" t="s">
        <v>1464</v>
      </c>
      <c r="E615" s="362" t="str">
        <f>Subrates!C216</f>
        <v>&gt;1000 to &lt;=5000 ML Clean, Lined, Native</v>
      </c>
      <c r="F615" s="350"/>
      <c r="G615" s="353"/>
      <c r="H615" s="18"/>
      <c r="I615" s="362" t="s">
        <v>119</v>
      </c>
      <c r="J615" s="420">
        <v>41737.649483361427</v>
      </c>
      <c r="K615" s="105"/>
      <c r="L615" s="356">
        <f t="shared" si="73"/>
        <v>0</v>
      </c>
      <c r="M615" s="453"/>
      <c r="N615" s="69"/>
      <c r="O615" s="362" t="s">
        <v>1418</v>
      </c>
      <c r="P615" s="362" t="str">
        <f t="shared" si="74"/>
        <v xml:space="preserve">
Removal and disposal of sediment (see Assumptions for thickness) and liner, earthworks to fill dams in using soil in berms, place growth media, grade and seed with native species. Land investigation included. Residual water and salt management not included and must be included separately if present.
</v>
      </c>
      <c r="Q615" s="339"/>
    </row>
    <row r="616" spans="1:17" s="336" customFormat="1" ht="90">
      <c r="A616" s="240"/>
      <c r="B616" s="319">
        <f t="shared" si="72"/>
        <v>0</v>
      </c>
      <c r="C616" s="2"/>
      <c r="D616" s="398" t="s">
        <v>1465</v>
      </c>
      <c r="E616" s="362" t="str">
        <f>Subrates!C217</f>
        <v>&gt;1000 to &lt;=5000 ML Clean, Lined, Arid</v>
      </c>
      <c r="F616" s="350"/>
      <c r="G616" s="353"/>
      <c r="H616" s="18"/>
      <c r="I616" s="362" t="s">
        <v>119</v>
      </c>
      <c r="J616" s="420">
        <v>33298.35068373476</v>
      </c>
      <c r="K616" s="105"/>
      <c r="L616" s="356">
        <f t="shared" si="73"/>
        <v>0</v>
      </c>
      <c r="M616" s="453"/>
      <c r="N616" s="69"/>
      <c r="O616" s="362" t="s">
        <v>1418</v>
      </c>
      <c r="P616" s="362" t="str">
        <f t="shared" si="74"/>
        <v xml:space="preserve">
Removal and disposal of sediment (see Assumptions for thickness) and liner, earthworks to fill dams in using soil in berms, no growth media or seed as in desert. Land investigation included. Residual water and salt management not included and must be included separately if present.
</v>
      </c>
      <c r="Q616" s="339"/>
    </row>
    <row r="617" spans="1:17" s="336" customFormat="1" ht="90">
      <c r="A617" s="240"/>
      <c r="B617" s="319">
        <f t="shared" si="72"/>
        <v>0</v>
      </c>
      <c r="C617" s="2"/>
      <c r="D617" s="398" t="s">
        <v>1466</v>
      </c>
      <c r="E617" s="362" t="str">
        <f>Subrates!C218</f>
        <v>&gt;1000 to &lt;=5000 ML Clean, Unlined, Pasture</v>
      </c>
      <c r="F617" s="350"/>
      <c r="G617" s="353"/>
      <c r="H617" s="18"/>
      <c r="I617" s="362" t="s">
        <v>119</v>
      </c>
      <c r="J617" s="420">
        <v>30306.402786458351</v>
      </c>
      <c r="K617" s="105"/>
      <c r="L617" s="356">
        <f t="shared" si="73"/>
        <v>0</v>
      </c>
      <c r="M617" s="453"/>
      <c r="N617" s="69"/>
      <c r="O617" s="362" t="s">
        <v>1418</v>
      </c>
      <c r="P617" s="362" t="str">
        <f t="shared" si="74"/>
        <v xml:space="preserve">
Removal of sediment (see Assumptions for thickness), earthworks to fill dams in using soil in berms, place growth media, grade and seed with pasture species. Land investigation included. Residual water and salt management not included and must be included separately if present.
</v>
      </c>
      <c r="Q617" s="339"/>
    </row>
    <row r="618" spans="1:17" s="336" customFormat="1" ht="90">
      <c r="A618" s="240"/>
      <c r="B618" s="319">
        <f t="shared" si="72"/>
        <v>0</v>
      </c>
      <c r="C618" s="2"/>
      <c r="D618" s="398" t="s">
        <v>1467</v>
      </c>
      <c r="E618" s="362" t="str">
        <f>Subrates!C219</f>
        <v>&gt;1000 to &lt;=5000 ML Clean, Unlined, Native</v>
      </c>
      <c r="F618" s="350"/>
      <c r="G618" s="353"/>
      <c r="H618" s="18"/>
      <c r="I618" s="362" t="s">
        <v>119</v>
      </c>
      <c r="J618" s="420">
        <v>32847.402786458348</v>
      </c>
      <c r="K618" s="105"/>
      <c r="L618" s="356">
        <f t="shared" si="73"/>
        <v>0</v>
      </c>
      <c r="M618" s="453"/>
      <c r="N618" s="68"/>
      <c r="O618" s="362" t="s">
        <v>1418</v>
      </c>
      <c r="P618" s="362" t="str">
        <f t="shared" si="74"/>
        <v xml:space="preserve">
Removal of sediment (see Assumptions for thickness), earthworks to fill dams in using soil in berms, place growth media, grade and seed with native species. Land investigation included. Residual water and salt management not included and must be included separately if present.
</v>
      </c>
      <c r="Q618" s="339"/>
    </row>
    <row r="619" spans="1:17" s="336" customFormat="1" ht="90">
      <c r="A619" s="240"/>
      <c r="B619" s="319">
        <f t="shared" si="72"/>
        <v>0</v>
      </c>
      <c r="C619" s="2"/>
      <c r="D619" s="398" t="s">
        <v>1468</v>
      </c>
      <c r="E619" s="362" t="str">
        <f>Subrates!C220</f>
        <v>&gt;1000 to &lt;=5000 ML Clean, Unlined, Arid</v>
      </c>
      <c r="F619" s="350"/>
      <c r="G619" s="353"/>
      <c r="H619" s="18"/>
      <c r="I619" s="362" t="s">
        <v>119</v>
      </c>
      <c r="J619" s="420">
        <v>24408.10398683168</v>
      </c>
      <c r="K619" s="105"/>
      <c r="L619" s="356">
        <f t="shared" si="73"/>
        <v>0</v>
      </c>
      <c r="M619" s="453"/>
      <c r="N619" s="68"/>
      <c r="O619" s="362" t="s">
        <v>1418</v>
      </c>
      <c r="P619" s="362" t="str">
        <f t="shared" si="74"/>
        <v xml:space="preserve">
Removal of sediment (see Assumptions for thickness), earthworks to fill dams in using soil in berms. No growth media or grade and seed as in desert. Land investigation included. Residual water and salt management not included and must be included separately if present.
</v>
      </c>
      <c r="Q619" s="339"/>
    </row>
    <row r="620" spans="1:17" s="336" customFormat="1" ht="45">
      <c r="A620" s="240"/>
      <c r="B620" s="319">
        <f t="shared" si="72"/>
        <v>0</v>
      </c>
      <c r="C620" s="2"/>
      <c r="D620" s="398" t="s">
        <v>1457</v>
      </c>
      <c r="E620" s="362" t="str">
        <f>Subrates!C126</f>
        <v>Vertical, Steel, Closed top, Steel, Single skin, Not lined, 500 kL</v>
      </c>
      <c r="F620" s="350"/>
      <c r="G620" s="353"/>
      <c r="H620" s="18"/>
      <c r="I620" s="409" t="s">
        <v>17</v>
      </c>
      <c r="J620" s="420">
        <v>11733.126506088049</v>
      </c>
      <c r="K620" s="105"/>
      <c r="L620" s="356">
        <f t="shared" ref="L620:L629" si="75">IF(K620="",J620,K620)*H620</f>
        <v>0</v>
      </c>
      <c r="M620" s="453"/>
      <c r="N620" s="68"/>
      <c r="O620" s="362" t="s">
        <v>1469</v>
      </c>
      <c r="P620" s="362" t="s">
        <v>1470</v>
      </c>
      <c r="Q620" s="339"/>
    </row>
    <row r="621" spans="1:17" s="336" customFormat="1" ht="45">
      <c r="A621" s="240"/>
      <c r="B621" s="319">
        <f t="shared" si="72"/>
        <v>0</v>
      </c>
      <c r="C621" s="2"/>
      <c r="D621" s="398" t="s">
        <v>1458</v>
      </c>
      <c r="E621" s="362" t="str">
        <f>Subrates!C127</f>
        <v>Vertical, Steel, Closed top, Steel, Single skin, Not lined, 1000 kL</v>
      </c>
      <c r="F621" s="350"/>
      <c r="G621" s="353"/>
      <c r="H621" s="18"/>
      <c r="I621" s="409" t="s">
        <v>17</v>
      </c>
      <c r="J621" s="420">
        <v>16420.06905489269</v>
      </c>
      <c r="K621" s="105"/>
      <c r="L621" s="356">
        <f t="shared" si="75"/>
        <v>0</v>
      </c>
      <c r="M621" s="453"/>
      <c r="N621" s="68"/>
      <c r="O621" s="362" t="s">
        <v>1469</v>
      </c>
      <c r="P621" s="362" t="s">
        <v>1470</v>
      </c>
      <c r="Q621" s="339"/>
    </row>
    <row r="622" spans="1:17" s="336" customFormat="1" ht="45">
      <c r="A622" s="240"/>
      <c r="B622" s="319">
        <f t="shared" si="72"/>
        <v>0</v>
      </c>
      <c r="C622" s="2"/>
      <c r="D622" s="398" t="s">
        <v>1459</v>
      </c>
      <c r="E622" s="362" t="str">
        <f>Subrates!C128</f>
        <v>Vertical, Steel, Closed top, Steel, Single skin, Not lined, 2000 kL</v>
      </c>
      <c r="F622" s="350"/>
      <c r="G622" s="353"/>
      <c r="H622" s="18"/>
      <c r="I622" s="409" t="s">
        <v>17</v>
      </c>
      <c r="J622" s="420">
        <v>23031.099576222729</v>
      </c>
      <c r="K622" s="105"/>
      <c r="L622" s="356">
        <f t="shared" si="75"/>
        <v>0</v>
      </c>
      <c r="M622" s="453"/>
      <c r="N622" s="68"/>
      <c r="O622" s="362" t="s">
        <v>1469</v>
      </c>
      <c r="P622" s="362" t="s">
        <v>1470</v>
      </c>
      <c r="Q622" s="339"/>
    </row>
    <row r="623" spans="1:17" s="336" customFormat="1" ht="45">
      <c r="A623" s="240"/>
      <c r="B623" s="319">
        <f t="shared" si="72"/>
        <v>0</v>
      </c>
      <c r="C623" s="2"/>
      <c r="D623" s="398" t="s">
        <v>1460</v>
      </c>
      <c r="E623" s="362" t="str">
        <f>Subrates!C129</f>
        <v>Vertical, Steel, Closed top, Steel, Single skin, Not lined, 3000 kL</v>
      </c>
      <c r="F623" s="350"/>
      <c r="G623" s="353"/>
      <c r="H623" s="18"/>
      <c r="I623" s="409" t="s">
        <v>17</v>
      </c>
      <c r="J623" s="420">
        <v>29676.737664114116</v>
      </c>
      <c r="K623" s="105"/>
      <c r="L623" s="356">
        <f t="shared" si="75"/>
        <v>0</v>
      </c>
      <c r="M623" s="453"/>
      <c r="N623" s="68"/>
      <c r="O623" s="362" t="s">
        <v>1469</v>
      </c>
      <c r="P623" s="362" t="s">
        <v>1470</v>
      </c>
      <c r="Q623" s="339"/>
    </row>
    <row r="624" spans="1:17" s="336" customFormat="1" ht="45">
      <c r="A624" s="240"/>
      <c r="B624" s="319">
        <f t="shared" si="72"/>
        <v>0</v>
      </c>
      <c r="C624" s="2"/>
      <c r="D624" s="398" t="s">
        <v>1461</v>
      </c>
      <c r="E624" s="362" t="str">
        <f>Subrates!C130</f>
        <v>Vertical, Steel, Closed top, Steel, Single skin, Not lined, 5000 kL</v>
      </c>
      <c r="F624" s="350"/>
      <c r="G624" s="353"/>
      <c r="H624" s="18"/>
      <c r="I624" s="409" t="s">
        <v>17</v>
      </c>
      <c r="J624" s="420">
        <v>37677.29508255668</v>
      </c>
      <c r="K624" s="105"/>
      <c r="L624" s="356">
        <f t="shared" si="75"/>
        <v>0</v>
      </c>
      <c r="M624" s="453"/>
      <c r="N624" s="68"/>
      <c r="O624" s="362" t="s">
        <v>1469</v>
      </c>
      <c r="P624" s="362" t="s">
        <v>1470</v>
      </c>
      <c r="Q624" s="339"/>
    </row>
    <row r="625" spans="1:17" s="336" customFormat="1" ht="45">
      <c r="A625" s="240"/>
      <c r="B625" s="319">
        <f t="shared" si="72"/>
        <v>0</v>
      </c>
      <c r="C625" s="2"/>
      <c r="D625" s="398" t="s">
        <v>1462</v>
      </c>
      <c r="E625" s="362" t="str">
        <f>Subrates!C131</f>
        <v>Vertical, Steel, Closed top, Steel, Single skin, Not lined, 7500 kL</v>
      </c>
      <c r="F625" s="350"/>
      <c r="G625" s="353"/>
      <c r="H625" s="18"/>
      <c r="I625" s="409" t="s">
        <v>17</v>
      </c>
      <c r="J625" s="420">
        <v>45065.535632496736</v>
      </c>
      <c r="K625" s="105"/>
      <c r="L625" s="356">
        <f t="shared" si="75"/>
        <v>0</v>
      </c>
      <c r="M625" s="453"/>
      <c r="N625" s="68"/>
      <c r="O625" s="362" t="s">
        <v>1469</v>
      </c>
      <c r="P625" s="362" t="s">
        <v>1470</v>
      </c>
      <c r="Q625" s="339"/>
    </row>
    <row r="626" spans="1:17" s="336" customFormat="1" ht="45">
      <c r="A626" s="240"/>
      <c r="B626" s="319">
        <f t="shared" si="72"/>
        <v>0</v>
      </c>
      <c r="C626" s="2"/>
      <c r="D626" s="398" t="s">
        <v>1463</v>
      </c>
      <c r="E626" s="362" t="str">
        <f>Subrates!C132</f>
        <v>Vertical, Steel, Closed top, Steel, Single skin, Not lined, 10000 kL</v>
      </c>
      <c r="F626" s="350"/>
      <c r="G626" s="353"/>
      <c r="H626" s="18"/>
      <c r="I626" s="409" t="s">
        <v>17</v>
      </c>
      <c r="J626" s="420">
        <v>52377.107699026703</v>
      </c>
      <c r="K626" s="105"/>
      <c r="L626" s="356">
        <f t="shared" si="75"/>
        <v>0</v>
      </c>
      <c r="M626" s="453"/>
      <c r="N626" s="68"/>
      <c r="O626" s="362" t="s">
        <v>1469</v>
      </c>
      <c r="P626" s="362" t="s">
        <v>1470</v>
      </c>
      <c r="Q626" s="339"/>
    </row>
    <row r="627" spans="1:17" s="336" customFormat="1" ht="45">
      <c r="A627" s="240"/>
      <c r="B627" s="319">
        <f t="shared" si="72"/>
        <v>0</v>
      </c>
      <c r="C627" s="2"/>
      <c r="D627" s="398" t="s">
        <v>1464</v>
      </c>
      <c r="E627" s="362" t="str">
        <f>Subrates!C133</f>
        <v>Panel, Concrete, Open top, Earth, Single skin, Lined, 1.2 ML</v>
      </c>
      <c r="F627" s="350"/>
      <c r="G627" s="353"/>
      <c r="H627" s="18"/>
      <c r="I627" s="409" t="s">
        <v>17</v>
      </c>
      <c r="J627" s="420">
        <v>16194.767315026074</v>
      </c>
      <c r="K627" s="105"/>
      <c r="L627" s="356">
        <f t="shared" si="75"/>
        <v>0</v>
      </c>
      <c r="M627" s="453"/>
      <c r="N627" s="68"/>
      <c r="O627" s="362" t="s">
        <v>1469</v>
      </c>
      <c r="P627" s="362" t="s">
        <v>1471</v>
      </c>
      <c r="Q627" s="339"/>
    </row>
    <row r="628" spans="1:17" s="336" customFormat="1" ht="45">
      <c r="A628" s="240"/>
      <c r="B628" s="319">
        <f t="shared" si="72"/>
        <v>0</v>
      </c>
      <c r="C628" s="2"/>
      <c r="D628" s="398" t="s">
        <v>1465</v>
      </c>
      <c r="E628" s="362" t="str">
        <f>Subrates!C134</f>
        <v>Panel, Concrete, Open top, Earth, Single skin, Lined, 1.9 ML</v>
      </c>
      <c r="F628" s="350"/>
      <c r="G628" s="353"/>
      <c r="H628" s="18"/>
      <c r="I628" s="409" t="s">
        <v>17</v>
      </c>
      <c r="J628" s="420">
        <v>20991.691212316535</v>
      </c>
      <c r="K628" s="105"/>
      <c r="L628" s="356">
        <f t="shared" si="75"/>
        <v>0</v>
      </c>
      <c r="M628" s="453"/>
      <c r="N628" s="68"/>
      <c r="O628" s="362" t="s">
        <v>1469</v>
      </c>
      <c r="P628" s="362" t="s">
        <v>1471</v>
      </c>
      <c r="Q628" s="339"/>
    </row>
    <row r="629" spans="1:17" s="336" customFormat="1" ht="45">
      <c r="A629" s="240"/>
      <c r="B629" s="319">
        <f t="shared" si="72"/>
        <v>0</v>
      </c>
      <c r="C629" s="2"/>
      <c r="D629" s="398" t="s">
        <v>1466</v>
      </c>
      <c r="E629" s="362" t="str">
        <f>Subrates!C135</f>
        <v>Panel, Concrete, Open top, Earth, Single skin, Lined, 3.6 ML</v>
      </c>
      <c r="F629" s="350"/>
      <c r="G629" s="353"/>
      <c r="H629" s="18"/>
      <c r="I629" s="409" t="s">
        <v>17</v>
      </c>
      <c r="J629" s="420">
        <v>33305.031288593949</v>
      </c>
      <c r="K629" s="105"/>
      <c r="L629" s="356">
        <f t="shared" si="75"/>
        <v>0</v>
      </c>
      <c r="M629" s="453"/>
      <c r="N629" s="68"/>
      <c r="O629" s="362" t="s">
        <v>1469</v>
      </c>
      <c r="P629" s="362" t="s">
        <v>1471</v>
      </c>
      <c r="Q629" s="339"/>
    </row>
    <row r="630" spans="1:17" s="336" customFormat="1" ht="45">
      <c r="A630" s="240"/>
      <c r="B630" s="319">
        <f t="shared" ref="B630:B638" si="76">IF(L630&gt;0,1,0)</f>
        <v>0</v>
      </c>
      <c r="C630" s="2"/>
      <c r="D630" s="398" t="s">
        <v>1467</v>
      </c>
      <c r="E630" s="362" t="str">
        <f>Subrates!C136</f>
        <v>Panel, Concrete, Open top, Earth, Single skin, Lined, 5.5 ML</v>
      </c>
      <c r="F630" s="350"/>
      <c r="G630" s="353"/>
      <c r="H630" s="18"/>
      <c r="I630" s="409" t="s">
        <v>17</v>
      </c>
      <c r="J630" s="420">
        <v>42944.557541321912</v>
      </c>
      <c r="K630" s="105"/>
      <c r="L630" s="356">
        <f t="shared" ref="L630:L636" si="77">IF(K630="",J630,K630)*H630</f>
        <v>0</v>
      </c>
      <c r="M630" s="453"/>
      <c r="N630" s="68"/>
      <c r="O630" s="362" t="s">
        <v>1469</v>
      </c>
      <c r="P630" s="362" t="s">
        <v>1471</v>
      </c>
      <c r="Q630" s="339"/>
    </row>
    <row r="631" spans="1:17" s="336" customFormat="1" ht="45">
      <c r="A631" s="240"/>
      <c r="B631" s="319">
        <f t="shared" si="76"/>
        <v>0</v>
      </c>
      <c r="C631" s="2"/>
      <c r="D631" s="398" t="s">
        <v>1468</v>
      </c>
      <c r="E631" s="362" t="str">
        <f>Subrates!C137</f>
        <v>Panel, Concrete, Open top, Earth, Single skin, Lined, 7.6 ML</v>
      </c>
      <c r="F631" s="350"/>
      <c r="G631" s="353"/>
      <c r="H631" s="18"/>
      <c r="I631" s="409" t="s">
        <v>17</v>
      </c>
      <c r="J631" s="420">
        <v>53399.827057057017</v>
      </c>
      <c r="K631" s="105"/>
      <c r="L631" s="356">
        <f t="shared" si="77"/>
        <v>0</v>
      </c>
      <c r="M631" s="453"/>
      <c r="N631" s="68"/>
      <c r="O631" s="362" t="s">
        <v>1469</v>
      </c>
      <c r="P631" s="362" t="s">
        <v>1471</v>
      </c>
      <c r="Q631" s="339"/>
    </row>
    <row r="632" spans="1:17" s="336" customFormat="1" ht="45">
      <c r="A632" s="240"/>
      <c r="B632" s="319">
        <f t="shared" si="76"/>
        <v>0</v>
      </c>
      <c r="C632" s="2"/>
      <c r="D632" s="398" t="s">
        <v>1472</v>
      </c>
      <c r="E632" s="362" t="str">
        <f>Subrates!C138</f>
        <v>Panel, Concrete, Open top, Earth, Single skin, Lined, 12 ML</v>
      </c>
      <c r="F632" s="350"/>
      <c r="G632" s="353"/>
      <c r="H632" s="18"/>
      <c r="I632" s="409" t="s">
        <v>17</v>
      </c>
      <c r="J632" s="420">
        <v>71989.773227964863</v>
      </c>
      <c r="K632" s="105"/>
      <c r="L632" s="356">
        <f t="shared" si="77"/>
        <v>0</v>
      </c>
      <c r="M632" s="453"/>
      <c r="N632" s="68"/>
      <c r="O632" s="362" t="s">
        <v>1469</v>
      </c>
      <c r="P632" s="362" t="s">
        <v>1471</v>
      </c>
      <c r="Q632" s="339"/>
    </row>
    <row r="633" spans="1:17" s="336" customFormat="1" ht="45">
      <c r="A633" s="240"/>
      <c r="B633" s="319">
        <f t="shared" si="76"/>
        <v>0</v>
      </c>
      <c r="C633" s="2"/>
      <c r="D633" s="398" t="s">
        <v>1473</v>
      </c>
      <c r="E633" s="362" t="str">
        <f>Subrates!C139</f>
        <v>Panel, Concrete, Open top, Earth, Single skin, Lined, 15.5 ML</v>
      </c>
      <c r="F633" s="350"/>
      <c r="G633" s="353"/>
      <c r="H633" s="18"/>
      <c r="I633" s="409" t="s">
        <v>17</v>
      </c>
      <c r="J633" s="420">
        <v>86068.567425192625</v>
      </c>
      <c r="K633" s="105"/>
      <c r="L633" s="356">
        <f t="shared" si="77"/>
        <v>0</v>
      </c>
      <c r="M633" s="453"/>
      <c r="N633" s="68"/>
      <c r="O633" s="362" t="s">
        <v>1469</v>
      </c>
      <c r="P633" s="362" t="s">
        <v>1471</v>
      </c>
      <c r="Q633" s="339"/>
    </row>
    <row r="634" spans="1:17" s="336" customFormat="1" ht="45">
      <c r="A634" s="240"/>
      <c r="B634" s="319">
        <f t="shared" si="76"/>
        <v>0</v>
      </c>
      <c r="C634" s="2"/>
      <c r="D634" s="398" t="s">
        <v>1474</v>
      </c>
      <c r="E634" s="362" t="str">
        <f>Subrates!C140</f>
        <v>Panel, Concrete, Open top, Earth, Single skin, Lined, 25 ML</v>
      </c>
      <c r="F634" s="350"/>
      <c r="G634" s="353"/>
      <c r="H634" s="18"/>
      <c r="I634" s="409" t="s">
        <v>17</v>
      </c>
      <c r="J634" s="420">
        <v>125535.85535533386</v>
      </c>
      <c r="K634" s="105"/>
      <c r="L634" s="356">
        <f t="shared" si="77"/>
        <v>0</v>
      </c>
      <c r="M634" s="453"/>
      <c r="N634" s="68"/>
      <c r="O634" s="362" t="s">
        <v>1469</v>
      </c>
      <c r="P634" s="362" t="s">
        <v>1471</v>
      </c>
      <c r="Q634" s="339"/>
    </row>
    <row r="635" spans="1:17" s="336" customFormat="1" ht="45">
      <c r="A635" s="240"/>
      <c r="B635" s="319">
        <f t="shared" si="76"/>
        <v>0</v>
      </c>
      <c r="C635" s="2"/>
      <c r="D635" s="398" t="s">
        <v>1475</v>
      </c>
      <c r="E635" s="362" t="str">
        <f>Subrates!C141</f>
        <v>Panel, Concrete, Open top, Earth, Single skin, Lined, 40 ML</v>
      </c>
      <c r="F635" s="350"/>
      <c r="G635" s="353"/>
      <c r="H635" s="18"/>
      <c r="I635" s="409" t="s">
        <v>17</v>
      </c>
      <c r="J635" s="420">
        <v>178567.55028451674</v>
      </c>
      <c r="K635" s="105"/>
      <c r="L635" s="356">
        <f t="shared" si="77"/>
        <v>0</v>
      </c>
      <c r="M635" s="453"/>
      <c r="N635" s="68"/>
      <c r="O635" s="362" t="s">
        <v>1469</v>
      </c>
      <c r="P635" s="362" t="s">
        <v>1471</v>
      </c>
      <c r="Q635" s="339"/>
    </row>
    <row r="636" spans="1:17" s="336" customFormat="1" ht="45">
      <c r="A636" s="240"/>
      <c r="B636" s="319">
        <f t="shared" si="76"/>
        <v>0</v>
      </c>
      <c r="C636" s="2"/>
      <c r="D636" s="398" t="s">
        <v>1476</v>
      </c>
      <c r="E636" s="362" t="str">
        <f>Subrates!C142</f>
        <v>Panel, Concrete, Open top, Earth, Single skin, Lined, 50 ML</v>
      </c>
      <c r="F636" s="350"/>
      <c r="G636" s="353"/>
      <c r="H636" s="18"/>
      <c r="I636" s="409" t="s">
        <v>17</v>
      </c>
      <c r="J636" s="420">
        <v>210284.11348642068</v>
      </c>
      <c r="K636" s="105"/>
      <c r="L636" s="356">
        <f t="shared" si="77"/>
        <v>0</v>
      </c>
      <c r="M636" s="453"/>
      <c r="N636" s="68"/>
      <c r="O636" s="362" t="s">
        <v>1469</v>
      </c>
      <c r="P636" s="362" t="s">
        <v>1471</v>
      </c>
      <c r="Q636" s="339"/>
    </row>
    <row r="637" spans="1:17" s="336" customFormat="1">
      <c r="A637" s="240"/>
      <c r="B637" s="319">
        <f t="shared" si="76"/>
        <v>0</v>
      </c>
      <c r="C637" s="2"/>
      <c r="D637" s="398" t="s">
        <v>1477</v>
      </c>
      <c r="E637" s="70" t="s">
        <v>535</v>
      </c>
      <c r="F637" s="350"/>
      <c r="G637" s="353"/>
      <c r="H637" s="18"/>
      <c r="I637" s="77"/>
      <c r="J637" s="389"/>
      <c r="K637" s="105"/>
      <c r="L637" s="356">
        <f>H637*K637</f>
        <v>0</v>
      </c>
      <c r="M637" s="453"/>
      <c r="N637" s="68"/>
      <c r="O637" s="384"/>
      <c r="P637" s="70"/>
      <c r="Q637" s="363"/>
    </row>
    <row r="638" spans="1:17" s="336" customFormat="1">
      <c r="A638" s="240"/>
      <c r="B638" s="319">
        <f t="shared" si="76"/>
        <v>0</v>
      </c>
      <c r="C638" s="73"/>
      <c r="D638" s="398" t="s">
        <v>1478</v>
      </c>
      <c r="E638" s="72" t="s">
        <v>535</v>
      </c>
      <c r="F638" s="350"/>
      <c r="G638" s="353"/>
      <c r="H638" s="18"/>
      <c r="I638" s="81"/>
      <c r="J638" s="406"/>
      <c r="K638" s="105"/>
      <c r="L638" s="402">
        <f>H638*K638</f>
        <v>0</v>
      </c>
      <c r="M638" s="453"/>
      <c r="N638" s="68"/>
      <c r="O638" s="384"/>
      <c r="P638" s="70"/>
      <c r="Q638" s="363"/>
    </row>
    <row r="639" spans="1:17" s="336" customFormat="1">
      <c r="A639" s="240"/>
      <c r="B639" s="319">
        <v>1</v>
      </c>
      <c r="C639" s="370"/>
      <c r="D639" s="371"/>
      <c r="E639" s="371"/>
      <c r="F639" s="371"/>
      <c r="G639" s="371"/>
      <c r="H639" s="372"/>
      <c r="I639" s="371"/>
      <c r="J639" s="373"/>
      <c r="K639" s="374" t="s">
        <v>1479</v>
      </c>
      <c r="L639" s="375">
        <f>SUBTOTAL(9,L437:L638)</f>
        <v>0</v>
      </c>
      <c r="M639" s="392"/>
      <c r="N639" s="393"/>
      <c r="O639" s="394"/>
      <c r="P639" s="395"/>
      <c r="Q639" s="339"/>
    </row>
    <row r="640" spans="1:17" s="336" customFormat="1" ht="15">
      <c r="A640" s="240"/>
      <c r="B640" s="319">
        <v>1</v>
      </c>
      <c r="C640" s="340" t="s">
        <v>1480</v>
      </c>
      <c r="D640" s="341"/>
      <c r="E640" s="342"/>
      <c r="F640" s="342"/>
      <c r="G640" s="342"/>
      <c r="H640" s="380"/>
      <c r="I640" s="342"/>
      <c r="J640" s="381"/>
      <c r="K640" s="382"/>
      <c r="L640" s="383"/>
      <c r="M640" s="346"/>
      <c r="N640" s="347"/>
      <c r="O640" s="348"/>
      <c r="P640" s="349"/>
      <c r="Q640" s="339"/>
    </row>
    <row r="641" spans="1:17" s="336" customFormat="1" ht="90">
      <c r="A641" s="240"/>
      <c r="B641" s="319">
        <f t="shared" ref="B641:B707" si="78">IF(L641&gt;0,1,0)</f>
        <v>0</v>
      </c>
      <c r="C641" s="2"/>
      <c r="D641" s="421" t="s">
        <v>1481</v>
      </c>
      <c r="E641" s="362" t="str">
        <f>Lists!C310</f>
        <v>Maintenance of rehabilitated areas</v>
      </c>
      <c r="F641" s="350"/>
      <c r="G641" s="422">
        <f>HLOOKUP(E641,'General Land Rehabilitation'!$E$7:$L$20,'General Land Rehabilitation'!$N$20,FALSE)</f>
        <v>0</v>
      </c>
      <c r="H641" s="18"/>
      <c r="I641" s="409" t="str">
        <f>HLOOKUP(E641,'General Land Rehabilitation'!$E$7:$L$8,'General Land Rehabilitation'!$N$8,FALSE)</f>
        <v>ha</v>
      </c>
      <c r="J641" s="420">
        <v>644.19233759120505</v>
      </c>
      <c r="K641" s="105"/>
      <c r="L641" s="356">
        <f t="shared" ref="L641:L690" si="79">IF(K641="",J641,K641)*(H641+G641)</f>
        <v>0</v>
      </c>
      <c r="M641" s="457"/>
      <c r="N641" s="68"/>
      <c r="O641" s="362" t="s">
        <v>1482</v>
      </c>
      <c r="P641" s="362" t="s">
        <v>1483</v>
      </c>
      <c r="Q641" s="339"/>
    </row>
    <row r="642" spans="1:17" s="336" customFormat="1">
      <c r="A642" s="240"/>
      <c r="B642" s="319">
        <f t="shared" si="78"/>
        <v>0</v>
      </c>
      <c r="C642" s="2"/>
      <c r="D642" s="421" t="s">
        <v>1484</v>
      </c>
      <c r="E642" s="362" t="str">
        <f>Lists!C311</f>
        <v>Existing rehabilitation repair - minor</v>
      </c>
      <c r="F642" s="350"/>
      <c r="G642" s="422">
        <f>HLOOKUP(E642,'General Land Rehabilitation'!$E$7:$L$20,'General Land Rehabilitation'!$N$20,FALSE)</f>
        <v>0</v>
      </c>
      <c r="H642" s="18"/>
      <c r="I642" s="409" t="str">
        <f>HLOOKUP(E642,'General Land Rehabilitation'!$E$7:$L$8,'General Land Rehabilitation'!$N$8,FALSE)</f>
        <v>ha</v>
      </c>
      <c r="J642" s="420">
        <v>1233.0551461594168</v>
      </c>
      <c r="K642" s="105"/>
      <c r="L642" s="356">
        <f t="shared" ref="L642:L648" si="80">IF(K642="",J642,K642)*(H642+G642)</f>
        <v>0</v>
      </c>
      <c r="M642" s="457"/>
      <c r="N642" s="68"/>
      <c r="O642" s="362" t="s">
        <v>1485</v>
      </c>
      <c r="P642" s="362" t="s">
        <v>1486</v>
      </c>
      <c r="Q642" s="339"/>
    </row>
    <row r="643" spans="1:17" s="336" customFormat="1" ht="90">
      <c r="A643" s="240"/>
      <c r="B643" s="319">
        <f t="shared" si="78"/>
        <v>0</v>
      </c>
      <c r="C643" s="2"/>
      <c r="D643" s="421" t="s">
        <v>1487</v>
      </c>
      <c r="E643" s="362" t="str">
        <f>Lists!C312</f>
        <v>Existing rehabilitation repair - moderate</v>
      </c>
      <c r="F643" s="350"/>
      <c r="G643" s="422">
        <f>HLOOKUP(E643,'General Land Rehabilitation'!$E$7:$L$20,'General Land Rehabilitation'!$N$20,FALSE)</f>
        <v>0</v>
      </c>
      <c r="H643" s="18"/>
      <c r="I643" s="409" t="str">
        <f>HLOOKUP(E643,'General Land Rehabilitation'!$E$7:$L$8,'General Land Rehabilitation'!$N$8,FALSE)</f>
        <v>ha</v>
      </c>
      <c r="J643" s="420">
        <v>1803.7964565472391</v>
      </c>
      <c r="K643" s="105"/>
      <c r="L643" s="356">
        <f t="shared" si="80"/>
        <v>0</v>
      </c>
      <c r="M643" s="457"/>
      <c r="N643" s="68"/>
      <c r="O643" s="362" t="s">
        <v>1488</v>
      </c>
      <c r="P643" s="362" t="s">
        <v>1486</v>
      </c>
      <c r="Q643" s="339"/>
    </row>
    <row r="644" spans="1:17" s="336" customFormat="1">
      <c r="A644" s="240"/>
      <c r="B644" s="319">
        <f t="shared" si="78"/>
        <v>0</v>
      </c>
      <c r="C644" s="2"/>
      <c r="D644" s="421" t="s">
        <v>1489</v>
      </c>
      <c r="E644" s="362" t="str">
        <f>Lists!C313</f>
        <v>Existing rehabilitation repair - major</v>
      </c>
      <c r="F644" s="350"/>
      <c r="G644" s="422">
        <f>HLOOKUP(E644,'General Land Rehabilitation'!$E$7:$L$20,'General Land Rehabilitation'!$N$20,FALSE)</f>
        <v>0</v>
      </c>
      <c r="H644" s="18"/>
      <c r="I644" s="409" t="str">
        <f>HLOOKUP(E644,'General Land Rehabilitation'!$E$7:$L$8,'General Land Rehabilitation'!$N$8,FALSE)</f>
        <v>ha</v>
      </c>
      <c r="J644" s="420">
        <v>2945.2790773228835</v>
      </c>
      <c r="K644" s="105"/>
      <c r="L644" s="356">
        <f t="shared" si="80"/>
        <v>0</v>
      </c>
      <c r="M644" s="457"/>
      <c r="N644" s="68"/>
      <c r="O644" s="362" t="s">
        <v>1490</v>
      </c>
      <c r="P644" s="362" t="s">
        <v>1486</v>
      </c>
      <c r="Q644" s="339"/>
    </row>
    <row r="645" spans="1:17" s="336" customFormat="1" ht="56.25">
      <c r="A645" s="240"/>
      <c r="B645" s="319">
        <f t="shared" si="78"/>
        <v>0</v>
      </c>
      <c r="C645" s="2"/>
      <c r="D645" s="421" t="s">
        <v>1491</v>
      </c>
      <c r="E645" s="362" t="str">
        <f>Lists!C314</f>
        <v>Existing rehabilitation repair - total failure of intended landform</v>
      </c>
      <c r="F645" s="350"/>
      <c r="G645" s="422">
        <f>HLOOKUP(E645,'General Land Rehabilitation'!$E$7:$L$20,'General Land Rehabilitation'!$N$20,FALSE)</f>
        <v>0</v>
      </c>
      <c r="H645" s="18"/>
      <c r="I645" s="409" t="str">
        <f>HLOOKUP(E645,'General Land Rehabilitation'!$E$7:$L$8,'General Land Rehabilitation'!$N$8,FALSE)</f>
        <v>ha</v>
      </c>
      <c r="J645" s="420">
        <v>35643.586780784455</v>
      </c>
      <c r="K645" s="105"/>
      <c r="L645" s="356">
        <f t="shared" si="80"/>
        <v>0</v>
      </c>
      <c r="M645" s="457"/>
      <c r="N645" s="68"/>
      <c r="O645" s="362" t="s">
        <v>1492</v>
      </c>
      <c r="P645" s="362" t="s">
        <v>1493</v>
      </c>
      <c r="Q645" s="339"/>
    </row>
    <row r="646" spans="1:17" s="336" customFormat="1" ht="45">
      <c r="A646" s="240"/>
      <c r="B646" s="319">
        <f t="shared" si="78"/>
        <v>0</v>
      </c>
      <c r="C646" s="2"/>
      <c r="D646" s="421" t="s">
        <v>1494</v>
      </c>
      <c r="E646" s="362" t="str">
        <f>Lists!C315</f>
        <v>Rehabilitation of miscellaneous footprints</v>
      </c>
      <c r="F646" s="350"/>
      <c r="G646" s="422">
        <f>HLOOKUP(E646,'General Land Rehabilitation'!$E$7:$L$20,'General Land Rehabilitation'!$N$20,FALSE)</f>
        <v>0</v>
      </c>
      <c r="H646" s="18"/>
      <c r="I646" s="409" t="str">
        <f>HLOOKUP(E646,'General Land Rehabilitation'!$E$7:$L$8,'General Land Rehabilitation'!$N$8,FALSE)</f>
        <v>Ha</v>
      </c>
      <c r="J646" s="420">
        <v>12041.498977346095</v>
      </c>
      <c r="K646" s="105"/>
      <c r="L646" s="356">
        <f t="shared" si="80"/>
        <v>0</v>
      </c>
      <c r="M646" s="457"/>
      <c r="N646" s="68"/>
      <c r="O646" s="362" t="s">
        <v>1495</v>
      </c>
      <c r="P646" s="362" t="s">
        <v>1496</v>
      </c>
      <c r="Q646" s="339"/>
    </row>
    <row r="647" spans="1:17" s="336" customFormat="1" ht="45">
      <c r="A647" s="240"/>
      <c r="B647" s="319">
        <f t="shared" si="78"/>
        <v>0</v>
      </c>
      <c r="C647" s="2"/>
      <c r="D647" s="421" t="s">
        <v>1497</v>
      </c>
      <c r="E647" s="362" t="str">
        <f>Lists!C316</f>
        <v>Land management of undisturbed areas (e.g., weed management, feral animal control, erosion and sediment control works)</v>
      </c>
      <c r="F647" s="350"/>
      <c r="G647" s="422">
        <f>HLOOKUP(E647,'General Land Rehabilitation'!$E$7:$L$20,'General Land Rehabilitation'!$N$20,FALSE)</f>
        <v>0</v>
      </c>
      <c r="H647" s="18"/>
      <c r="I647" s="409" t="str">
        <f>HLOOKUP(E647,'General Land Rehabilitation'!$E$7:$L$8,'General Land Rehabilitation'!$N$8,FALSE)</f>
        <v>ha</v>
      </c>
      <c r="J647" s="420">
        <v>495.00000000000006</v>
      </c>
      <c r="K647" s="105"/>
      <c r="L647" s="356">
        <f t="shared" si="80"/>
        <v>0</v>
      </c>
      <c r="M647" s="457"/>
      <c r="N647" s="68"/>
      <c r="O647" s="362" t="s">
        <v>1498</v>
      </c>
      <c r="P647" s="362" t="s">
        <v>1499</v>
      </c>
      <c r="Q647" s="339"/>
    </row>
    <row r="648" spans="1:17" s="336" customFormat="1" ht="33.75">
      <c r="A648" s="240"/>
      <c r="B648" s="319">
        <f t="shared" si="78"/>
        <v>0</v>
      </c>
      <c r="C648" s="2"/>
      <c r="D648" s="421" t="s">
        <v>1500</v>
      </c>
      <c r="E648" s="362" t="str">
        <f>Lists!C317</f>
        <v>Pest management on buffer lands, non-disturbed, and rehabilitated areas</v>
      </c>
      <c r="F648" s="350"/>
      <c r="G648" s="422">
        <f>HLOOKUP(E648,'General Land Rehabilitation'!$E$7:$L$20,'General Land Rehabilitation'!$N$20,FALSE)</f>
        <v>0</v>
      </c>
      <c r="H648" s="18"/>
      <c r="I648" s="409" t="str">
        <f>HLOOKUP(E648,'General Land Rehabilitation'!$E$7:$L$8,'General Land Rehabilitation'!$N$8,FALSE)</f>
        <v>ha</v>
      </c>
      <c r="J648" s="420">
        <v>150</v>
      </c>
      <c r="K648" s="105"/>
      <c r="L648" s="356">
        <f t="shared" si="80"/>
        <v>0</v>
      </c>
      <c r="M648" s="457"/>
      <c r="N648" s="68"/>
      <c r="O648" s="362" t="s">
        <v>1501</v>
      </c>
      <c r="P648" s="362" t="s">
        <v>1502</v>
      </c>
      <c r="Q648" s="339"/>
    </row>
    <row r="649" spans="1:17" s="336" customFormat="1" ht="56.25">
      <c r="A649" s="240"/>
      <c r="B649" s="319">
        <f t="shared" si="78"/>
        <v>0</v>
      </c>
      <c r="C649" s="2"/>
      <c r="D649" s="421" t="s">
        <v>1503</v>
      </c>
      <c r="E649" s="362" t="str">
        <f>Lists!C319</f>
        <v>Engineered cut-through drain</v>
      </c>
      <c r="F649" s="350"/>
      <c r="G649" s="422">
        <f>HLOOKUP(E649,'General Land Rehabilitation'!$E$24:$L$37,'General Land Rehabilitation'!$K$37,FALSE)</f>
        <v>0</v>
      </c>
      <c r="H649" s="18"/>
      <c r="I649" s="409" t="str">
        <f>HLOOKUP(E649,'General Land Rehabilitation'!$E$24:$L$37,'General Land Rehabilitation'!$K$25,FALSE)</f>
        <v>ha</v>
      </c>
      <c r="J649" s="420">
        <v>18728.206228301864</v>
      </c>
      <c r="K649" s="105"/>
      <c r="L649" s="356">
        <f t="shared" ref="L649" si="81">IF(K649="",J649,K649)*(H649+G649)</f>
        <v>0</v>
      </c>
      <c r="M649" s="457"/>
      <c r="N649" s="68"/>
      <c r="O649" s="362" t="s">
        <v>1504</v>
      </c>
      <c r="P649" s="362" t="s">
        <v>1505</v>
      </c>
      <c r="Q649" s="339"/>
    </row>
    <row r="650" spans="1:17" s="336" customFormat="1" ht="56.25">
      <c r="A650" s="240"/>
      <c r="B650" s="319">
        <f t="shared" si="78"/>
        <v>0</v>
      </c>
      <c r="C650" s="2"/>
      <c r="D650" s="421" t="s">
        <v>1506</v>
      </c>
      <c r="E650" s="362" t="str">
        <f>Lists!C320</f>
        <v>Repairs and/or stabilisation of new or compromised water course diversion</v>
      </c>
      <c r="F650" s="350"/>
      <c r="G650" s="422">
        <f>'General Land Rehabilitation'!F37</f>
        <v>0</v>
      </c>
      <c r="H650" s="18"/>
      <c r="I650" s="409" t="str">
        <f>HLOOKUP(E650,'General Land Rehabilitation'!$E$24:$L$37,'General Land Rehabilitation'!$K$25,FALSE)</f>
        <v>m</v>
      </c>
      <c r="J650" s="420">
        <v>2750</v>
      </c>
      <c r="K650" s="105"/>
      <c r="L650" s="356">
        <f t="shared" ref="L650:L652" si="82">IF(K650="",J650,K650)*(H650+G650)</f>
        <v>0</v>
      </c>
      <c r="M650" s="457"/>
      <c r="N650" s="68"/>
      <c r="O650" s="362" t="s">
        <v>1507</v>
      </c>
      <c r="P650" s="362" t="s">
        <v>1508</v>
      </c>
      <c r="Q650" s="339"/>
    </row>
    <row r="651" spans="1:17" s="336" customFormat="1" ht="67.5">
      <c r="A651" s="240"/>
      <c r="B651" s="319">
        <f t="shared" si="78"/>
        <v>0</v>
      </c>
      <c r="C651" s="2"/>
      <c r="D651" s="421" t="s">
        <v>1509</v>
      </c>
      <c r="E651" s="362" t="str">
        <f>Lists!C321</f>
        <v>Long term maintenance of water course diversion – Channel constructed through backfilled material</v>
      </c>
      <c r="F651" s="350"/>
      <c r="G651" s="422">
        <f>'General Land Rehabilitation'!G37</f>
        <v>0</v>
      </c>
      <c r="H651" s="18"/>
      <c r="I651" s="409" t="str">
        <f>HLOOKUP(E651,'General Land Rehabilitation'!$E$24:$L$37,'General Land Rehabilitation'!$K$25,FALSE)</f>
        <v>m</v>
      </c>
      <c r="J651" s="420">
        <v>1650</v>
      </c>
      <c r="K651" s="105"/>
      <c r="L651" s="356">
        <f t="shared" si="82"/>
        <v>0</v>
      </c>
      <c r="M651" s="457"/>
      <c r="N651" s="68"/>
      <c r="O651" s="362" t="s">
        <v>1510</v>
      </c>
      <c r="P651" s="362" t="s">
        <v>1511</v>
      </c>
      <c r="Q651" s="339"/>
    </row>
    <row r="652" spans="1:17" s="336" customFormat="1" ht="67.5">
      <c r="A652" s="240"/>
      <c r="B652" s="319">
        <f t="shared" si="78"/>
        <v>0</v>
      </c>
      <c r="C652" s="2"/>
      <c r="D652" s="421" t="s">
        <v>1512</v>
      </c>
      <c r="E652" s="362" t="str">
        <f>Lists!C322</f>
        <v>Long term maintenance of water course diversion – Channel constructed through competent material</v>
      </c>
      <c r="F652" s="350"/>
      <c r="G652" s="422">
        <f>'General Land Rehabilitation'!H37</f>
        <v>0</v>
      </c>
      <c r="H652" s="18"/>
      <c r="I652" s="409" t="str">
        <f>HLOOKUP(E652,'General Land Rehabilitation'!$E$24:$L$37,'General Land Rehabilitation'!$K$25,FALSE)</f>
        <v>m</v>
      </c>
      <c r="J652" s="420">
        <v>825</v>
      </c>
      <c r="K652" s="105"/>
      <c r="L652" s="356">
        <f t="shared" si="82"/>
        <v>0</v>
      </c>
      <c r="M652" s="457"/>
      <c r="N652" s="68"/>
      <c r="O652" s="362" t="s">
        <v>1513</v>
      </c>
      <c r="P652" s="362" t="s">
        <v>1511</v>
      </c>
      <c r="Q652" s="339"/>
    </row>
    <row r="653" spans="1:17" s="336" customFormat="1" ht="33.75">
      <c r="A653" s="240"/>
      <c r="B653" s="319">
        <f t="shared" si="78"/>
        <v>0</v>
      </c>
      <c r="C653" s="2"/>
      <c r="D653" s="421" t="s">
        <v>1514</v>
      </c>
      <c r="E653" s="362" t="str">
        <f>Lists!C323</f>
        <v>Installation of rock armouring</v>
      </c>
      <c r="F653" s="350"/>
      <c r="G653" s="422">
        <f>HLOOKUP(E653,'General Land Rehabilitation'!$E$24:$P$37,'General Land Rehabilitation'!$K$37,FALSE)</f>
        <v>0</v>
      </c>
      <c r="H653" s="18"/>
      <c r="I653" s="409" t="str">
        <f>HLOOKUP(E653,'General Land Rehabilitation'!$E$24:$P$37,'General Land Rehabilitation'!$K$25,FALSE)</f>
        <v>m2</v>
      </c>
      <c r="J653" s="420">
        <v>6.6</v>
      </c>
      <c r="K653" s="105"/>
      <c r="L653" s="356">
        <f t="shared" ref="L653" si="83">IF(K653="",J653,K653)*(H653+G653)</f>
        <v>0</v>
      </c>
      <c r="M653" s="457"/>
      <c r="N653" s="68"/>
      <c r="O653" s="362" t="s">
        <v>1515</v>
      </c>
      <c r="P653" s="362" t="s">
        <v>1516</v>
      </c>
      <c r="Q653" s="339"/>
    </row>
    <row r="654" spans="1:17" s="336" customFormat="1" ht="123.75">
      <c r="A654" s="240"/>
      <c r="B654" s="319">
        <f t="shared" si="78"/>
        <v>0</v>
      </c>
      <c r="C654" s="2"/>
      <c r="D654" s="421" t="s">
        <v>1517</v>
      </c>
      <c r="E654" s="362" t="str">
        <f>Lists!C327</f>
        <v>General doze deep ripping - D6R</v>
      </c>
      <c r="F654" s="350"/>
      <c r="G654" s="422">
        <f>HLOOKUP(E654,'General Land Rehabilitation'!$E$41:$P$54,'General Land Rehabilitation'!$R$54,FALSE)</f>
        <v>0</v>
      </c>
      <c r="H654" s="18"/>
      <c r="I654" s="362" t="str">
        <f>HLOOKUP(E654,'General Land Rehabilitation'!$E$41:$P$54,'General Land Rehabilitation'!$R$42,FALSE)</f>
        <v>ha</v>
      </c>
      <c r="J654" s="420">
        <v>421.46639999766637</v>
      </c>
      <c r="K654" s="105"/>
      <c r="L654" s="356">
        <f t="shared" si="79"/>
        <v>0</v>
      </c>
      <c r="M654" s="457"/>
      <c r="N654" s="68"/>
      <c r="O654" s="362" t="s">
        <v>1518</v>
      </c>
      <c r="P654" s="362" t="s">
        <v>1519</v>
      </c>
      <c r="Q654" s="339"/>
    </row>
    <row r="655" spans="1:17" s="336" customFormat="1" ht="22.5">
      <c r="A655" s="240"/>
      <c r="B655" s="319">
        <f t="shared" si="78"/>
        <v>0</v>
      </c>
      <c r="C655" s="2"/>
      <c r="D655" s="421" t="s">
        <v>1520</v>
      </c>
      <c r="E655" s="362" t="str">
        <f>Lists!C328</f>
        <v>General doze deep ripping - D7R</v>
      </c>
      <c r="F655" s="350"/>
      <c r="G655" s="422">
        <f>HLOOKUP(E655,'General Land Rehabilitation'!$E$41:$P$54,'General Land Rehabilitation'!$R$54,FALSE)</f>
        <v>0</v>
      </c>
      <c r="H655" s="18"/>
      <c r="I655" s="362" t="str">
        <f>HLOOKUP(E655,'General Land Rehabilitation'!$E$41:$P$54,'General Land Rehabilitation'!$R$42,FALSE)</f>
        <v>ha</v>
      </c>
      <c r="J655" s="420">
        <v>465.62767562073236</v>
      </c>
      <c r="K655" s="105"/>
      <c r="L655" s="356">
        <f t="shared" ref="L655:L665" si="84">IF(K655="",J655,K655)*(H655+G655)</f>
        <v>0</v>
      </c>
      <c r="M655" s="457"/>
      <c r="N655" s="68"/>
      <c r="O655" s="362" t="s">
        <v>881</v>
      </c>
      <c r="P655" s="362" t="s">
        <v>1521</v>
      </c>
      <c r="Q655" s="339"/>
    </row>
    <row r="656" spans="1:17" s="336" customFormat="1" ht="22.5">
      <c r="A656" s="240"/>
      <c r="B656" s="319">
        <f t="shared" si="78"/>
        <v>0</v>
      </c>
      <c r="C656" s="2"/>
      <c r="D656" s="421" t="s">
        <v>1522</v>
      </c>
      <c r="E656" s="362" t="str">
        <f>Lists!C329</f>
        <v>General doze deep ripping - D8R</v>
      </c>
      <c r="F656" s="350"/>
      <c r="G656" s="422">
        <f>HLOOKUP(E656,'General Land Rehabilitation'!$E$41:$P$54,'General Land Rehabilitation'!$R$54,FALSE)</f>
        <v>0</v>
      </c>
      <c r="H656" s="18"/>
      <c r="I656" s="362" t="str">
        <f>HLOOKUP(E656,'General Land Rehabilitation'!$E$41:$P$54,'General Land Rehabilitation'!$R$42,FALSE)</f>
        <v>ha</v>
      </c>
      <c r="J656" s="420">
        <v>507.02752737286818</v>
      </c>
      <c r="K656" s="105"/>
      <c r="L656" s="356">
        <f t="shared" si="84"/>
        <v>0</v>
      </c>
      <c r="M656" s="457"/>
      <c r="N656" s="68"/>
      <c r="O656" s="362" t="s">
        <v>881</v>
      </c>
      <c r="P656" s="362" t="s">
        <v>1523</v>
      </c>
      <c r="Q656" s="339"/>
    </row>
    <row r="657" spans="1:17" s="336" customFormat="1" ht="22.5">
      <c r="A657" s="240"/>
      <c r="B657" s="319">
        <f t="shared" si="78"/>
        <v>0</v>
      </c>
      <c r="C657" s="2"/>
      <c r="D657" s="421" t="s">
        <v>1524</v>
      </c>
      <c r="E657" s="362" t="str">
        <f>Lists!C330</f>
        <v>General doze deep ripping - D9R</v>
      </c>
      <c r="F657" s="350"/>
      <c r="G657" s="422">
        <f>HLOOKUP(E657,'General Land Rehabilitation'!$E$41:$P$54,'General Land Rehabilitation'!$R$54,FALSE)</f>
        <v>0</v>
      </c>
      <c r="H657" s="18"/>
      <c r="I657" s="362" t="str">
        <f>HLOOKUP(E657,'General Land Rehabilitation'!$E$41:$P$54,'General Land Rehabilitation'!$R$42,FALSE)</f>
        <v>ha</v>
      </c>
      <c r="J657" s="420">
        <v>560.79441231260842</v>
      </c>
      <c r="K657" s="105"/>
      <c r="L657" s="356">
        <f t="shared" si="84"/>
        <v>0</v>
      </c>
      <c r="M657" s="457"/>
      <c r="N657" s="68"/>
      <c r="O657" s="362" t="s">
        <v>881</v>
      </c>
      <c r="P657" s="362" t="s">
        <v>1525</v>
      </c>
      <c r="Q657" s="339"/>
    </row>
    <row r="658" spans="1:17" s="336" customFormat="1" ht="22.5">
      <c r="A658" s="240"/>
      <c r="B658" s="319">
        <f t="shared" si="78"/>
        <v>0</v>
      </c>
      <c r="C658" s="2"/>
      <c r="D658" s="421" t="s">
        <v>1526</v>
      </c>
      <c r="E658" s="362" t="str">
        <f>Lists!C331</f>
        <v>General doze deep ripping - D10T</v>
      </c>
      <c r="F658" s="350"/>
      <c r="G658" s="422">
        <f>HLOOKUP(E658,'General Land Rehabilitation'!$E$41:$P$54,'General Land Rehabilitation'!$R$54,FALSE)</f>
        <v>0</v>
      </c>
      <c r="H658" s="18"/>
      <c r="I658" s="362" t="str">
        <f>HLOOKUP(E658,'General Land Rehabilitation'!$E$41:$P$54,'General Land Rehabilitation'!$R$42,FALSE)</f>
        <v>ha</v>
      </c>
      <c r="J658" s="420">
        <v>662.31383577159477</v>
      </c>
      <c r="K658" s="105"/>
      <c r="L658" s="356">
        <f t="shared" si="84"/>
        <v>0</v>
      </c>
      <c r="M658" s="457"/>
      <c r="N658" s="68"/>
      <c r="O658" s="362" t="s">
        <v>881</v>
      </c>
      <c r="P658" s="362" t="s">
        <v>1527</v>
      </c>
      <c r="Q658" s="339"/>
    </row>
    <row r="659" spans="1:17" s="336" customFormat="1" ht="22.5">
      <c r="A659" s="240"/>
      <c r="B659" s="319">
        <f t="shared" si="78"/>
        <v>0</v>
      </c>
      <c r="C659" s="2"/>
      <c r="D659" s="421" t="s">
        <v>1528</v>
      </c>
      <c r="E659" s="362" t="str">
        <f>Lists!C332</f>
        <v>General doze deep ripping - D11T</v>
      </c>
      <c r="F659" s="350"/>
      <c r="G659" s="422">
        <f>HLOOKUP(E659,'General Land Rehabilitation'!$E$41:$P$54,'General Land Rehabilitation'!$R$54,FALSE)</f>
        <v>0</v>
      </c>
      <c r="H659" s="18"/>
      <c r="I659" s="362" t="str">
        <f>HLOOKUP(E659,'General Land Rehabilitation'!$E$41:$P$54,'General Land Rehabilitation'!$R$42,FALSE)</f>
        <v>ha</v>
      </c>
      <c r="J659" s="420">
        <v>763.88601863355814</v>
      </c>
      <c r="K659" s="105"/>
      <c r="L659" s="356">
        <f t="shared" si="84"/>
        <v>0</v>
      </c>
      <c r="M659" s="457"/>
      <c r="N659" s="68"/>
      <c r="O659" s="362" t="s">
        <v>881</v>
      </c>
      <c r="P659" s="362" t="s">
        <v>1529</v>
      </c>
      <c r="Q659" s="339"/>
    </row>
    <row r="660" spans="1:17" s="336" customFormat="1" ht="123.75">
      <c r="A660" s="240"/>
      <c r="B660" s="319">
        <f t="shared" si="78"/>
        <v>0</v>
      </c>
      <c r="C660" s="2"/>
      <c r="D660" s="421" t="s">
        <v>1530</v>
      </c>
      <c r="E660" s="362" t="str">
        <f>Lists!C333</f>
        <v>General doze and shape to re-establish natural drainage and rip - D6R dozer</v>
      </c>
      <c r="F660" s="350"/>
      <c r="G660" s="422">
        <f>HLOOKUP(E660,'General Land Rehabilitation'!$E$41:$P$54,'General Land Rehabilitation'!$R$54,FALSE)</f>
        <v>0</v>
      </c>
      <c r="H660" s="18"/>
      <c r="I660" s="362" t="str">
        <f>HLOOKUP(E660,'General Land Rehabilitation'!$E$41:$P$54,'General Land Rehabilitation'!$R$42,FALSE)</f>
        <v>ha</v>
      </c>
      <c r="J660" s="420">
        <v>8484.3689816459319</v>
      </c>
      <c r="K660" s="105"/>
      <c r="L660" s="356">
        <f t="shared" si="84"/>
        <v>0</v>
      </c>
      <c r="M660" s="457"/>
      <c r="N660" s="68"/>
      <c r="O660" s="362" t="s">
        <v>1531</v>
      </c>
      <c r="P660" s="362" t="s">
        <v>1532</v>
      </c>
      <c r="Q660" s="339"/>
    </row>
    <row r="661" spans="1:17" s="336" customFormat="1" ht="35.65" customHeight="1">
      <c r="A661" s="240"/>
      <c r="B661" s="319">
        <f t="shared" si="78"/>
        <v>0</v>
      </c>
      <c r="C661" s="2"/>
      <c r="D661" s="421" t="s">
        <v>1533</v>
      </c>
      <c r="E661" s="362" t="str">
        <f>Lists!C334</f>
        <v>General doze and shape to re-establish natural drainage and rip - D7R dozer</v>
      </c>
      <c r="F661" s="350"/>
      <c r="G661" s="422">
        <f>HLOOKUP(E661,'General Land Rehabilitation'!$E$41:$P$54,'General Land Rehabilitation'!$R$54,FALSE)</f>
        <v>0</v>
      </c>
      <c r="H661" s="18"/>
      <c r="I661" s="362" t="str">
        <f>HLOOKUP(E661,'General Land Rehabilitation'!$E$41:$P$54,'General Land Rehabilitation'!$R$42,FALSE)</f>
        <v>ha</v>
      </c>
      <c r="J661" s="420">
        <v>6032.961435604434</v>
      </c>
      <c r="K661" s="105"/>
      <c r="L661" s="356">
        <f t="shared" si="84"/>
        <v>0</v>
      </c>
      <c r="M661" s="457"/>
      <c r="N661" s="68"/>
      <c r="O661" s="362" t="s">
        <v>881</v>
      </c>
      <c r="P661" s="362" t="s">
        <v>1534</v>
      </c>
      <c r="Q661" s="339"/>
    </row>
    <row r="662" spans="1:17" s="336" customFormat="1" ht="35.65" customHeight="1">
      <c r="A662" s="240"/>
      <c r="B662" s="319">
        <f t="shared" si="78"/>
        <v>0</v>
      </c>
      <c r="C662" s="2"/>
      <c r="D662" s="421" t="s">
        <v>1535</v>
      </c>
      <c r="E662" s="362" t="str">
        <f>Lists!C335</f>
        <v>General doze and shape to re-establish natural drainage and rip - D8R dozer</v>
      </c>
      <c r="F662" s="350"/>
      <c r="G662" s="422">
        <f>HLOOKUP(E662,'General Land Rehabilitation'!$E$41:$P$54,'General Land Rehabilitation'!$R$54,FALSE)</f>
        <v>0</v>
      </c>
      <c r="H662" s="18"/>
      <c r="I662" s="362" t="str">
        <f>HLOOKUP(E662,'General Land Rehabilitation'!$E$41:$P$54,'General Land Rehabilitation'!$R$42,FALSE)</f>
        <v>ha</v>
      </c>
      <c r="J662" s="420">
        <v>3850.1404859584422</v>
      </c>
      <c r="K662" s="105"/>
      <c r="L662" s="356">
        <f t="shared" si="84"/>
        <v>0</v>
      </c>
      <c r="M662" s="457"/>
      <c r="N662" s="68"/>
      <c r="O662" s="362" t="s">
        <v>881</v>
      </c>
      <c r="P662" s="362" t="s">
        <v>1536</v>
      </c>
      <c r="Q662" s="339"/>
    </row>
    <row r="663" spans="1:17" s="336" customFormat="1" ht="35.65" customHeight="1">
      <c r="A663" s="240"/>
      <c r="B663" s="319">
        <f t="shared" si="78"/>
        <v>0</v>
      </c>
      <c r="C663" s="2"/>
      <c r="D663" s="421" t="s">
        <v>1537</v>
      </c>
      <c r="E663" s="362" t="str">
        <f>Lists!C336</f>
        <v>General doze and shape to re-establish natural drainage and rip - D9R dozer</v>
      </c>
      <c r="F663" s="350"/>
      <c r="G663" s="422">
        <f>HLOOKUP(E663,'General Land Rehabilitation'!$E$41:$P$54,'General Land Rehabilitation'!$R$54,FALSE)</f>
        <v>0</v>
      </c>
      <c r="H663" s="18"/>
      <c r="I663" s="362" t="str">
        <f>HLOOKUP(E663,'General Land Rehabilitation'!$E$41:$P$54,'General Land Rehabilitation'!$R$42,FALSE)</f>
        <v>ha</v>
      </c>
      <c r="J663" s="420">
        <v>3006.9944827130266</v>
      </c>
      <c r="K663" s="105"/>
      <c r="L663" s="356">
        <f t="shared" si="84"/>
        <v>0</v>
      </c>
      <c r="M663" s="457"/>
      <c r="N663" s="68"/>
      <c r="O663" s="362" t="s">
        <v>881</v>
      </c>
      <c r="P663" s="362" t="s">
        <v>1538</v>
      </c>
      <c r="Q663" s="339"/>
    </row>
    <row r="664" spans="1:17" s="336" customFormat="1" ht="35.65" customHeight="1">
      <c r="A664" s="240"/>
      <c r="B664" s="319">
        <f t="shared" si="78"/>
        <v>0</v>
      </c>
      <c r="C664" s="2"/>
      <c r="D664" s="421" t="s">
        <v>1539</v>
      </c>
      <c r="E664" s="362" t="str">
        <f>Lists!C337</f>
        <v>General doze and shape to re-establish natural drainage and rip - D10T dozer</v>
      </c>
      <c r="F664" s="350"/>
      <c r="G664" s="422">
        <f>HLOOKUP(E664,'General Land Rehabilitation'!$E$41:$P$54,'General Land Rehabilitation'!$R$54,FALSE)</f>
        <v>0</v>
      </c>
      <c r="H664" s="18"/>
      <c r="I664" s="362" t="str">
        <f>HLOOKUP(E664,'General Land Rehabilitation'!$E$41:$P$54,'General Land Rehabilitation'!$R$42,FALSE)</f>
        <v>ha</v>
      </c>
      <c r="J664" s="420">
        <v>2945.2790773228835</v>
      </c>
      <c r="K664" s="105"/>
      <c r="L664" s="356">
        <f t="shared" si="84"/>
        <v>0</v>
      </c>
      <c r="M664" s="457"/>
      <c r="N664" s="68"/>
      <c r="O664" s="362" t="s">
        <v>881</v>
      </c>
      <c r="P664" s="362" t="s">
        <v>1540</v>
      </c>
      <c r="Q664" s="339"/>
    </row>
    <row r="665" spans="1:17" s="336" customFormat="1" ht="33.75">
      <c r="A665" s="240"/>
      <c r="B665" s="319">
        <f t="shared" si="78"/>
        <v>0</v>
      </c>
      <c r="C665" s="2"/>
      <c r="D665" s="421" t="s">
        <v>1541</v>
      </c>
      <c r="E665" s="362" t="str">
        <f>Lists!C338</f>
        <v>General doze and shape to re-establish natural drainage and rip - D11T dozer</v>
      </c>
      <c r="F665" s="350"/>
      <c r="G665" s="422">
        <f>HLOOKUP(E665,'General Land Rehabilitation'!$E$41:$P$54,'General Land Rehabilitation'!$R$54,FALSE)</f>
        <v>0</v>
      </c>
      <c r="H665" s="18"/>
      <c r="I665" s="362" t="str">
        <f>HLOOKUP(E665,'General Land Rehabilitation'!$E$41:$P$54,'General Land Rehabilitation'!$R$42,FALSE)</f>
        <v>ha</v>
      </c>
      <c r="J665" s="420">
        <v>2658.3270296182855</v>
      </c>
      <c r="K665" s="105"/>
      <c r="L665" s="356">
        <f t="shared" si="84"/>
        <v>0</v>
      </c>
      <c r="M665" s="457"/>
      <c r="N665" s="68"/>
      <c r="O665" s="362" t="s">
        <v>881</v>
      </c>
      <c r="P665" s="362" t="s">
        <v>1542</v>
      </c>
      <c r="Q665" s="339"/>
    </row>
    <row r="666" spans="1:17" s="336" customFormat="1" ht="123.75">
      <c r="A666" s="240"/>
      <c r="B666" s="319">
        <f t="shared" si="78"/>
        <v>0</v>
      </c>
      <c r="C666" s="2"/>
      <c r="D666" s="421" t="s">
        <v>1543</v>
      </c>
      <c r="E666" s="362" t="str">
        <f>Lists!C341</f>
        <v>General grader and shape to re-establish natural rip - 12M</v>
      </c>
      <c r="F666" s="350"/>
      <c r="G666" s="422">
        <f>HLOOKUP(E666,'General Land Rehabilitation'!$E$58:$G$71,'General Land Rehabilitation'!I$71,FALSE)</f>
        <v>0</v>
      </c>
      <c r="H666" s="18"/>
      <c r="I666" s="362" t="str">
        <f>HLOOKUP(E666,'General Land Rehabilitation'!$E$58:$G$71,'General Land Rehabilitation'!$I$59,FALSE)</f>
        <v>ha</v>
      </c>
      <c r="J666" s="420">
        <v>357.77009162742655</v>
      </c>
      <c r="K666" s="105"/>
      <c r="L666" s="356">
        <f t="shared" si="79"/>
        <v>0</v>
      </c>
      <c r="M666" s="457"/>
      <c r="N666" s="68"/>
      <c r="O666" s="362" t="s">
        <v>1531</v>
      </c>
      <c r="P666" s="362" t="s">
        <v>1544</v>
      </c>
      <c r="Q666" s="339"/>
    </row>
    <row r="667" spans="1:17" s="336" customFormat="1" ht="56.25">
      <c r="A667" s="240"/>
      <c r="B667" s="319">
        <f t="shared" si="78"/>
        <v>0</v>
      </c>
      <c r="C667" s="2"/>
      <c r="D667" s="421" t="s">
        <v>1545</v>
      </c>
      <c r="E667" s="362" t="str">
        <f>Lists!C342</f>
        <v>General grader and shape to re-establish natural rip - 14M</v>
      </c>
      <c r="F667" s="350"/>
      <c r="G667" s="422">
        <f>HLOOKUP(E667,'General Land Rehabilitation'!$E$58:$G$71,'General Land Rehabilitation'!I$71,FALSE)</f>
        <v>0</v>
      </c>
      <c r="H667" s="18"/>
      <c r="I667" s="362" t="str">
        <f>HLOOKUP(E667,'General Land Rehabilitation'!$E$58:$G$71,'General Land Rehabilitation'!$I$59,FALSE)</f>
        <v>ha</v>
      </c>
      <c r="J667" s="420">
        <v>400.15945742176939</v>
      </c>
      <c r="K667" s="105"/>
      <c r="L667" s="356">
        <f t="shared" si="79"/>
        <v>0</v>
      </c>
      <c r="M667" s="457"/>
      <c r="N667" s="68"/>
      <c r="O667" s="362" t="s">
        <v>881</v>
      </c>
      <c r="P667" s="362" t="s">
        <v>1546</v>
      </c>
      <c r="Q667" s="339"/>
    </row>
    <row r="668" spans="1:17" s="336" customFormat="1" ht="43.35" customHeight="1">
      <c r="A668" s="240"/>
      <c r="B668" s="319">
        <f t="shared" si="78"/>
        <v>0</v>
      </c>
      <c r="C668" s="2"/>
      <c r="D668" s="421" t="s">
        <v>1547</v>
      </c>
      <c r="E668" s="362" t="str">
        <f>Lists!C343</f>
        <v>General grader and shape to re-establish natural rip - 16M</v>
      </c>
      <c r="F668" s="350"/>
      <c r="G668" s="422">
        <f>HLOOKUP(E668,'General Land Rehabilitation'!$E$58:$G$71,'General Land Rehabilitation'!I$71,FALSE)</f>
        <v>0</v>
      </c>
      <c r="H668" s="18"/>
      <c r="I668" s="362" t="str">
        <f>HLOOKUP(E668,'General Land Rehabilitation'!$E$58:$G$71,'General Land Rehabilitation'!$I$59,FALSE)</f>
        <v>ha</v>
      </c>
      <c r="J668" s="420">
        <v>432.68030027693754</v>
      </c>
      <c r="K668" s="105"/>
      <c r="L668" s="356">
        <f t="shared" si="79"/>
        <v>0</v>
      </c>
      <c r="M668" s="457"/>
      <c r="N668" s="68"/>
      <c r="O668" s="362" t="s">
        <v>881</v>
      </c>
      <c r="P668" s="362" t="s">
        <v>1548</v>
      </c>
      <c r="Q668" s="339"/>
    </row>
    <row r="669" spans="1:17" s="336" customFormat="1" ht="67.5">
      <c r="A669" s="240"/>
      <c r="B669" s="319">
        <f t="shared" si="78"/>
        <v>0</v>
      </c>
      <c r="C669" s="2"/>
      <c r="D669" s="421" t="s">
        <v>1549</v>
      </c>
      <c r="E669" s="362" t="str">
        <f>Lists!C118</f>
        <v>Gypsum Normal Soil</v>
      </c>
      <c r="F669" s="350"/>
      <c r="G669" s="422">
        <f>HLOOKUP(E669,'General Land Rehabilitation'!$E$75:$R$88,'General Land Rehabilitation'!$T$88,FALSE)</f>
        <v>0</v>
      </c>
      <c r="H669" s="18"/>
      <c r="I669" s="362" t="s">
        <v>119</v>
      </c>
      <c r="J669" s="420">
        <v>346.865495610111</v>
      </c>
      <c r="K669" s="105"/>
      <c r="L669" s="356">
        <f t="shared" si="79"/>
        <v>0</v>
      </c>
      <c r="M669" s="457"/>
      <c r="N669" s="68"/>
      <c r="O669" s="362" t="s">
        <v>1550</v>
      </c>
      <c r="P669" s="362" t="s">
        <v>1551</v>
      </c>
      <c r="Q669" s="339"/>
    </row>
    <row r="670" spans="1:17" s="336" customFormat="1" ht="67.5">
      <c r="A670" s="240"/>
      <c r="B670" s="319">
        <f t="shared" si="78"/>
        <v>0</v>
      </c>
      <c r="C670" s="2"/>
      <c r="D670" s="421" t="s">
        <v>1552</v>
      </c>
      <c r="E670" s="362" t="str">
        <f>Lists!C119</f>
        <v>Gypsum Sodic Soil</v>
      </c>
      <c r="F670" s="350"/>
      <c r="G670" s="422">
        <f>HLOOKUP(E670,'General Land Rehabilitation'!$E$75:$R$88,'General Land Rehabilitation'!$T$88,FALSE)</f>
        <v>0</v>
      </c>
      <c r="H670" s="18"/>
      <c r="I670" s="362" t="s">
        <v>119</v>
      </c>
      <c r="J670" s="420">
        <v>1300.5440916512644</v>
      </c>
      <c r="K670" s="105"/>
      <c r="L670" s="356">
        <f t="shared" si="79"/>
        <v>0</v>
      </c>
      <c r="M670" s="457"/>
      <c r="N670" s="68"/>
      <c r="O670" s="362" t="s">
        <v>1553</v>
      </c>
      <c r="P670" s="362" t="s">
        <v>1551</v>
      </c>
      <c r="Q670" s="339"/>
    </row>
    <row r="671" spans="1:17" s="336" customFormat="1" ht="67.5">
      <c r="A671" s="240"/>
      <c r="B671" s="319">
        <f t="shared" si="78"/>
        <v>0</v>
      </c>
      <c r="C671" s="2"/>
      <c r="D671" s="421" t="s">
        <v>1554</v>
      </c>
      <c r="E671" s="362" t="str">
        <f>Lists!C120</f>
        <v>Gypsum Recycled Normal Soil</v>
      </c>
      <c r="F671" s="350"/>
      <c r="G671" s="422">
        <f>HLOOKUP(E671,'General Land Rehabilitation'!$E$75:$R$88,'General Land Rehabilitation'!$T$88,FALSE)</f>
        <v>0</v>
      </c>
      <c r="H671" s="18"/>
      <c r="I671" s="362" t="s">
        <v>119</v>
      </c>
      <c r="J671" s="420">
        <v>271.865495610111</v>
      </c>
      <c r="K671" s="105"/>
      <c r="L671" s="356">
        <f t="shared" si="79"/>
        <v>0</v>
      </c>
      <c r="M671" s="457"/>
      <c r="N671" s="68"/>
      <c r="O671" s="362" t="s">
        <v>1555</v>
      </c>
      <c r="P671" s="362" t="s">
        <v>1551</v>
      </c>
      <c r="Q671" s="339"/>
    </row>
    <row r="672" spans="1:17" s="336" customFormat="1" ht="101.25">
      <c r="A672" s="240"/>
      <c r="B672" s="319">
        <f t="shared" si="78"/>
        <v>0</v>
      </c>
      <c r="C672" s="2"/>
      <c r="D672" s="421" t="s">
        <v>1556</v>
      </c>
      <c r="E672" s="362" t="str">
        <f>Lists!C121</f>
        <v>Gypsum Recycled Sodic Soil</v>
      </c>
      <c r="F672" s="350"/>
      <c r="G672" s="422">
        <f>HLOOKUP(E672,'General Land Rehabilitation'!$E$75:$R$88,'General Land Rehabilitation'!$T$88,FALSE)</f>
        <v>0</v>
      </c>
      <c r="H672" s="18"/>
      <c r="I672" s="362" t="s">
        <v>119</v>
      </c>
      <c r="J672" s="420">
        <v>1000.5440916512642</v>
      </c>
      <c r="K672" s="105"/>
      <c r="L672" s="356">
        <f t="shared" si="79"/>
        <v>0</v>
      </c>
      <c r="M672" s="457"/>
      <c r="N672" s="68"/>
      <c r="O672" s="362" t="s">
        <v>1557</v>
      </c>
      <c r="P672" s="362" t="s">
        <v>1551</v>
      </c>
      <c r="Q672" s="339"/>
    </row>
    <row r="673" spans="1:17" s="336" customFormat="1" ht="56.25">
      <c r="A673" s="240"/>
      <c r="B673" s="319">
        <f t="shared" si="78"/>
        <v>0</v>
      </c>
      <c r="C673" s="2"/>
      <c r="D673" s="421" t="s">
        <v>1558</v>
      </c>
      <c r="E673" s="362" t="str">
        <f>Lists!C122</f>
        <v>Lime</v>
      </c>
      <c r="F673" s="350"/>
      <c r="G673" s="422">
        <f>HLOOKUP(E673,'General Land Rehabilitation'!$E$75:$R$88,'General Land Rehabilitation'!$T$88,FALSE)</f>
        <v>0</v>
      </c>
      <c r="H673" s="18"/>
      <c r="I673" s="362" t="s">
        <v>119</v>
      </c>
      <c r="J673" s="420">
        <v>221.63489591075296</v>
      </c>
      <c r="K673" s="105"/>
      <c r="L673" s="356">
        <f t="shared" si="79"/>
        <v>0</v>
      </c>
      <c r="M673" s="457"/>
      <c r="N673" s="68"/>
      <c r="O673" s="362" t="s">
        <v>1550</v>
      </c>
      <c r="P673" s="362" t="s">
        <v>1559</v>
      </c>
      <c r="Q673" s="339"/>
    </row>
    <row r="674" spans="1:17" s="336" customFormat="1" ht="56.25">
      <c r="A674" s="240"/>
      <c r="B674" s="319">
        <f t="shared" si="78"/>
        <v>0</v>
      </c>
      <c r="C674" s="2"/>
      <c r="D674" s="421" t="s">
        <v>1560</v>
      </c>
      <c r="E674" s="362" t="str">
        <f>Lists!C123</f>
        <v>Biosolids, MSW, Manure</v>
      </c>
      <c r="F674" s="350"/>
      <c r="G674" s="422">
        <f>HLOOKUP(E674,'General Land Rehabilitation'!$E$75:$R$88,'General Land Rehabilitation'!$T$88,FALSE)</f>
        <v>0</v>
      </c>
      <c r="H674" s="18"/>
      <c r="I674" s="362" t="s">
        <v>119</v>
      </c>
      <c r="J674" s="420">
        <v>3854.3483529039895</v>
      </c>
      <c r="K674" s="105"/>
      <c r="L674" s="356">
        <f t="shared" si="79"/>
        <v>0</v>
      </c>
      <c r="M674" s="457"/>
      <c r="N674" s="68"/>
      <c r="O674" s="362" t="s">
        <v>1561</v>
      </c>
      <c r="P674" s="362" t="s">
        <v>1562</v>
      </c>
      <c r="Q674" s="339"/>
    </row>
    <row r="675" spans="1:17" s="336" customFormat="1" ht="56.25">
      <c r="A675" s="240"/>
      <c r="B675" s="319">
        <f t="shared" si="78"/>
        <v>0</v>
      </c>
      <c r="C675" s="2"/>
      <c r="D675" s="421" t="s">
        <v>1563</v>
      </c>
      <c r="E675" s="362" t="str">
        <f>Lists!C124</f>
        <v>Hay Mulch / Sugar Cane</v>
      </c>
      <c r="F675" s="350"/>
      <c r="G675" s="422">
        <f>HLOOKUP(E675,'General Land Rehabilitation'!$E$75:$R$88,'General Land Rehabilitation'!$T$88,FALSE)</f>
        <v>0</v>
      </c>
      <c r="H675" s="18"/>
      <c r="I675" s="362" t="s">
        <v>119</v>
      </c>
      <c r="J675" s="420">
        <v>1230.3162481746476</v>
      </c>
      <c r="K675" s="105"/>
      <c r="L675" s="356">
        <f t="shared" si="79"/>
        <v>0</v>
      </c>
      <c r="M675" s="457"/>
      <c r="N675" s="68"/>
      <c r="O675" s="362" t="s">
        <v>1561</v>
      </c>
      <c r="P675" s="362" t="s">
        <v>1564</v>
      </c>
      <c r="Q675" s="339"/>
    </row>
    <row r="676" spans="1:17" s="336" customFormat="1" ht="67.5">
      <c r="A676" s="240"/>
      <c r="B676" s="319">
        <f t="shared" si="78"/>
        <v>0</v>
      </c>
      <c r="C676" s="2"/>
      <c r="D676" s="421" t="s">
        <v>1565</v>
      </c>
      <c r="E676" s="362" t="str">
        <f>Lists!C125</f>
        <v>Fertiliser pasture</v>
      </c>
      <c r="F676" s="350"/>
      <c r="G676" s="422">
        <f>HLOOKUP(E676,'General Land Rehabilitation'!$E$75:$R$88,'General Land Rehabilitation'!$T$88,FALSE)</f>
        <v>0</v>
      </c>
      <c r="H676" s="18"/>
      <c r="I676" s="362" t="s">
        <v>119</v>
      </c>
      <c r="J676" s="420">
        <v>337.91265127127292</v>
      </c>
      <c r="K676" s="105"/>
      <c r="L676" s="356">
        <f t="shared" si="79"/>
        <v>0</v>
      </c>
      <c r="M676" s="457"/>
      <c r="N676" s="68"/>
      <c r="O676" s="362" t="s">
        <v>1566</v>
      </c>
      <c r="P676" s="362" t="s">
        <v>1567</v>
      </c>
      <c r="Q676" s="339"/>
    </row>
    <row r="677" spans="1:17" s="336" customFormat="1" ht="67.5">
      <c r="A677" s="240"/>
      <c r="B677" s="319">
        <f t="shared" si="78"/>
        <v>0</v>
      </c>
      <c r="C677" s="2"/>
      <c r="D677" s="421" t="s">
        <v>1568</v>
      </c>
      <c r="E677" s="362" t="str">
        <f>Lists!C126</f>
        <v>Fertiliser trees</v>
      </c>
      <c r="F677" s="350"/>
      <c r="G677" s="422">
        <f>HLOOKUP(E677,'General Land Rehabilitation'!$E$75:$R$88,'General Land Rehabilitation'!$T$88,FALSE)</f>
        <v>0</v>
      </c>
      <c r="H677" s="18"/>
      <c r="I677" s="362" t="s">
        <v>119</v>
      </c>
      <c r="J677" s="420">
        <v>337.91265127127292</v>
      </c>
      <c r="K677" s="105"/>
      <c r="L677" s="356">
        <f t="shared" si="79"/>
        <v>0</v>
      </c>
      <c r="M677" s="457"/>
      <c r="N677" s="68"/>
      <c r="O677" s="362" t="s">
        <v>1566</v>
      </c>
      <c r="P677" s="362" t="s">
        <v>1567</v>
      </c>
      <c r="Q677" s="339"/>
    </row>
    <row r="678" spans="1:17" s="336" customFormat="1" ht="67.5">
      <c r="A678" s="240"/>
      <c r="B678" s="319">
        <f t="shared" si="78"/>
        <v>0</v>
      </c>
      <c r="C678" s="2"/>
      <c r="D678" s="421" t="s">
        <v>1569</v>
      </c>
      <c r="E678" s="362" t="str">
        <f>Lists!C127</f>
        <v>Planting mature trees (&gt;15 cm)</v>
      </c>
      <c r="F678" s="350"/>
      <c r="G678" s="422">
        <f>HLOOKUP(E678,'General Land Rehabilitation'!$E$75:$R$88,'General Land Rehabilitation'!$T$88,FALSE)</f>
        <v>0</v>
      </c>
      <c r="H678" s="18"/>
      <c r="I678" s="409" t="s">
        <v>17</v>
      </c>
      <c r="J678" s="420">
        <v>22</v>
      </c>
      <c r="K678" s="105"/>
      <c r="L678" s="356">
        <f t="shared" si="79"/>
        <v>0</v>
      </c>
      <c r="M678" s="457"/>
      <c r="N678" s="68"/>
      <c r="O678" s="362" t="s">
        <v>1570</v>
      </c>
      <c r="P678" s="362" t="s">
        <v>1571</v>
      </c>
      <c r="Q678" s="339"/>
    </row>
    <row r="679" spans="1:17" s="336" customFormat="1" ht="67.5">
      <c r="A679" s="240"/>
      <c r="B679" s="319">
        <f t="shared" si="78"/>
        <v>0</v>
      </c>
      <c r="C679" s="2"/>
      <c r="D679" s="421" t="s">
        <v>1572</v>
      </c>
      <c r="E679" s="362" t="str">
        <f>Lists!C128</f>
        <v>Planting tube stock (&lt;=15 cm)</v>
      </c>
      <c r="F679" s="350"/>
      <c r="G679" s="422">
        <f>HLOOKUP(E679,'General Land Rehabilitation'!$E$75:$R$88,'General Land Rehabilitation'!$T$88,FALSE)</f>
        <v>0</v>
      </c>
      <c r="H679" s="18"/>
      <c r="I679" s="409" t="s">
        <v>17</v>
      </c>
      <c r="J679" s="420">
        <v>11</v>
      </c>
      <c r="K679" s="105"/>
      <c r="L679" s="356">
        <f t="shared" si="79"/>
        <v>0</v>
      </c>
      <c r="M679" s="457"/>
      <c r="N679" s="68"/>
      <c r="O679" s="362" t="s">
        <v>1570</v>
      </c>
      <c r="P679" s="362" t="s">
        <v>1573</v>
      </c>
      <c r="Q679" s="339"/>
    </row>
    <row r="680" spans="1:17" s="336" customFormat="1" ht="56.25">
      <c r="A680" s="240"/>
      <c r="B680" s="319">
        <f t="shared" si="78"/>
        <v>0</v>
      </c>
      <c r="C680" s="2"/>
      <c r="D680" s="421" t="s">
        <v>1574</v>
      </c>
      <c r="E680" s="362" t="str">
        <f>Lists!C129</f>
        <v>Hydro-seeding with mulch and bitumen tack</v>
      </c>
      <c r="F680" s="350"/>
      <c r="G680" s="422">
        <f>HLOOKUP(E680,'General Land Rehabilitation'!$E$75:$R$88,'General Land Rehabilitation'!$T$88,FALSE)</f>
        <v>0</v>
      </c>
      <c r="H680" s="18"/>
      <c r="I680" s="409" t="s">
        <v>17</v>
      </c>
      <c r="J680" s="420">
        <v>1.98</v>
      </c>
      <c r="K680" s="105"/>
      <c r="L680" s="356">
        <f t="shared" ref="L680:L682" si="85">IF(K680="",J680,K680)*(H680+G680)</f>
        <v>0</v>
      </c>
      <c r="M680" s="457"/>
      <c r="N680" s="68"/>
      <c r="O680" s="362" t="s">
        <v>1575</v>
      </c>
      <c r="P680" s="362" t="s">
        <v>1576</v>
      </c>
      <c r="Q680" s="339"/>
    </row>
    <row r="681" spans="1:17" s="336" customFormat="1" ht="112.5">
      <c r="A681" s="240"/>
      <c r="B681" s="319">
        <f t="shared" si="78"/>
        <v>0</v>
      </c>
      <c r="C681" s="2"/>
      <c r="D681" s="421" t="s">
        <v>1577</v>
      </c>
      <c r="E681" s="362" t="str">
        <f>Lists!C134</f>
        <v>Direct seeding / fertiliser (pasture grass species)</v>
      </c>
      <c r="F681" s="350"/>
      <c r="G681" s="422">
        <f>HLOOKUP(E681,'General Land Rehabilitation'!$E$75:$R$88,'General Land Rehabilitation'!$T$88,FALSE)</f>
        <v>0</v>
      </c>
      <c r="H681" s="18"/>
      <c r="I681" s="409" t="s">
        <v>119</v>
      </c>
      <c r="J681" s="420">
        <v>1655.5</v>
      </c>
      <c r="K681" s="105"/>
      <c r="L681" s="356">
        <f t="shared" si="85"/>
        <v>0</v>
      </c>
      <c r="M681" s="457"/>
      <c r="N681" s="68"/>
      <c r="O681" s="362" t="s">
        <v>1578</v>
      </c>
      <c r="P681" s="362" t="s">
        <v>1579</v>
      </c>
      <c r="Q681" s="339"/>
    </row>
    <row r="682" spans="1:17" s="336" customFormat="1" ht="135">
      <c r="A682" s="240"/>
      <c r="B682" s="319">
        <f t="shared" si="78"/>
        <v>0</v>
      </c>
      <c r="C682" s="2"/>
      <c r="D682" s="421" t="s">
        <v>1580</v>
      </c>
      <c r="E682" s="362" t="str">
        <f>Lists!D134</f>
        <v>Direct seeding / fertiliser (native tree/shrub/grass species)</v>
      </c>
      <c r="F682" s="350"/>
      <c r="G682" s="422">
        <f>HLOOKUP(E682,'General Land Rehabilitation'!$E$75:$R$88,'General Land Rehabilitation'!$T$88,FALSE)</f>
        <v>0</v>
      </c>
      <c r="H682" s="18"/>
      <c r="I682" s="409" t="s">
        <v>119</v>
      </c>
      <c r="J682" s="420">
        <v>4196.5</v>
      </c>
      <c r="K682" s="105"/>
      <c r="L682" s="356">
        <f t="shared" si="85"/>
        <v>0</v>
      </c>
      <c r="M682" s="457"/>
      <c r="N682" s="68"/>
      <c r="O682" s="362" t="s">
        <v>1578</v>
      </c>
      <c r="P682" s="362" t="s">
        <v>1581</v>
      </c>
      <c r="Q682" s="339"/>
    </row>
    <row r="683" spans="1:17" s="336" customFormat="1" ht="45">
      <c r="A683" s="240"/>
      <c r="B683" s="319">
        <f t="shared" si="78"/>
        <v>0</v>
      </c>
      <c r="C683" s="2"/>
      <c r="D683" s="421" t="s">
        <v>1582</v>
      </c>
      <c r="E683" s="362" t="str">
        <f>Lists!C346</f>
        <v>Water supply bore hole plugging</v>
      </c>
      <c r="F683" s="350"/>
      <c r="G683" s="422">
        <f>HLOOKUP(E683,'General Land Rehabilitation'!$E$92:$L$105,'General Land Rehabilitation'!N$105,FALSE)</f>
        <v>0</v>
      </c>
      <c r="H683" s="18"/>
      <c r="I683" s="362" t="str">
        <f>HLOOKUP(E683,'General Land Rehabilitation'!$E$92:$L$105,'General Land Rehabilitation'!N$93,FALSE)</f>
        <v>Whole # (bore)</v>
      </c>
      <c r="J683" s="420">
        <v>253.7713490363611</v>
      </c>
      <c r="K683" s="105"/>
      <c r="L683" s="356">
        <f t="shared" si="79"/>
        <v>0</v>
      </c>
      <c r="M683" s="457"/>
      <c r="N683" s="68"/>
      <c r="O683" s="362" t="s">
        <v>1583</v>
      </c>
      <c r="P683" s="362" t="s">
        <v>1584</v>
      </c>
      <c r="Q683" s="339"/>
    </row>
    <row r="684" spans="1:17" s="336" customFormat="1" ht="45">
      <c r="A684" s="240"/>
      <c r="B684" s="319">
        <f t="shared" si="78"/>
        <v>0</v>
      </c>
      <c r="C684" s="2"/>
      <c r="D684" s="421" t="s">
        <v>1585</v>
      </c>
      <c r="E684" s="362" t="str">
        <f>Lists!C347</f>
        <v>Monitoring bore hole plugging</v>
      </c>
      <c r="F684" s="350"/>
      <c r="G684" s="422">
        <f>HLOOKUP(E684,'General Land Rehabilitation'!$E$92:$L$105,'General Land Rehabilitation'!N$105,FALSE)</f>
        <v>0</v>
      </c>
      <c r="H684" s="18"/>
      <c r="I684" s="362" t="str">
        <f>HLOOKUP(E684,'General Land Rehabilitation'!$E$92:$L$105,'General Land Rehabilitation'!N$93,FALSE)</f>
        <v>Whole # (bore)</v>
      </c>
      <c r="J684" s="420">
        <v>253.7713490363611</v>
      </c>
      <c r="K684" s="105"/>
      <c r="L684" s="356">
        <f t="shared" si="79"/>
        <v>0</v>
      </c>
      <c r="M684" s="457"/>
      <c r="N684" s="68"/>
      <c r="O684" s="362" t="s">
        <v>1583</v>
      </c>
      <c r="P684" s="362" t="s">
        <v>1584</v>
      </c>
      <c r="Q684" s="339"/>
    </row>
    <row r="685" spans="1:17" s="336" customFormat="1" ht="33.75">
      <c r="A685" s="240"/>
      <c r="B685" s="319">
        <f t="shared" si="78"/>
        <v>0</v>
      </c>
      <c r="C685" s="2"/>
      <c r="D685" s="421" t="s">
        <v>1586</v>
      </c>
      <c r="E685" s="362" t="str">
        <f>Lists!C348</f>
        <v>Water supply bore hole backfilling with cuttings</v>
      </c>
      <c r="F685" s="350"/>
      <c r="G685" s="422">
        <f>HLOOKUP(E685,'General Land Rehabilitation'!$E$92:$L$105,'General Land Rehabilitation'!N$105,FALSE)</f>
        <v>0</v>
      </c>
      <c r="H685" s="18"/>
      <c r="I685" s="362" t="str">
        <f>HLOOKUP(E685,'General Land Rehabilitation'!$E$92:$L$105,'General Land Rehabilitation'!N$93,FALSE)</f>
        <v>Whole # (bore)</v>
      </c>
      <c r="J685" s="420">
        <v>633.55866828411081</v>
      </c>
      <c r="K685" s="105"/>
      <c r="L685" s="356">
        <f t="shared" si="79"/>
        <v>0</v>
      </c>
      <c r="M685" s="457"/>
      <c r="N685" s="68"/>
      <c r="O685" s="362" t="s">
        <v>1587</v>
      </c>
      <c r="P685" s="362" t="s">
        <v>1588</v>
      </c>
      <c r="Q685" s="339"/>
    </row>
    <row r="686" spans="1:17" s="336" customFormat="1" ht="33.75">
      <c r="A686" s="240"/>
      <c r="B686" s="319">
        <f t="shared" si="78"/>
        <v>0</v>
      </c>
      <c r="C686" s="2"/>
      <c r="D686" s="421" t="s">
        <v>1589</v>
      </c>
      <c r="E686" s="362" t="str">
        <f>Lists!C349</f>
        <v>Monitoring bore hole backfilling with cuttings</v>
      </c>
      <c r="F686" s="350"/>
      <c r="G686" s="422">
        <f>HLOOKUP(E686,'General Land Rehabilitation'!$E$92:$L$105,'General Land Rehabilitation'!N$105,FALSE)</f>
        <v>0</v>
      </c>
      <c r="H686" s="18"/>
      <c r="I686" s="362" t="str">
        <f>HLOOKUP(E686,'General Land Rehabilitation'!$E$92:$L$105,'General Land Rehabilitation'!N$93,FALSE)</f>
        <v>Whole # (bore)</v>
      </c>
      <c r="J686" s="420">
        <v>633.55866828411081</v>
      </c>
      <c r="K686" s="105"/>
      <c r="L686" s="356">
        <f t="shared" si="79"/>
        <v>0</v>
      </c>
      <c r="M686" s="457"/>
      <c r="N686" s="68"/>
      <c r="O686" s="362" t="s">
        <v>1587</v>
      </c>
      <c r="P686" s="362" t="s">
        <v>1588</v>
      </c>
      <c r="Q686" s="339"/>
    </row>
    <row r="687" spans="1:17" s="336" customFormat="1" ht="33.75">
      <c r="A687" s="240"/>
      <c r="B687" s="319">
        <f t="shared" si="78"/>
        <v>0</v>
      </c>
      <c r="C687" s="2"/>
      <c r="D687" s="421" t="s">
        <v>1590</v>
      </c>
      <c r="E687" s="362" t="str">
        <f>Lists!C350</f>
        <v>Water supply bore hole grounting</v>
      </c>
      <c r="F687" s="350"/>
      <c r="G687" s="422">
        <f>HLOOKUP(E687,'General Land Rehabilitation'!$E$92:$L$105,'General Land Rehabilitation'!N$105,FALSE)</f>
        <v>0</v>
      </c>
      <c r="H687" s="18"/>
      <c r="I687" s="362" t="str">
        <f>HLOOKUP(E687,'General Land Rehabilitation'!$E$92:$L$105,'General Land Rehabilitation'!N$93,FALSE)</f>
        <v>Whole # (bore)</v>
      </c>
      <c r="J687" s="420">
        <v>2106.1802246543266</v>
      </c>
      <c r="K687" s="105"/>
      <c r="L687" s="356">
        <f t="shared" si="79"/>
        <v>0</v>
      </c>
      <c r="M687" s="457"/>
      <c r="N687" s="68"/>
      <c r="O687" s="362" t="s">
        <v>1591</v>
      </c>
      <c r="P687" s="362" t="s">
        <v>1592</v>
      </c>
      <c r="Q687" s="339"/>
    </row>
    <row r="688" spans="1:17" s="336" customFormat="1" ht="33.75">
      <c r="A688" s="240"/>
      <c r="B688" s="319">
        <f t="shared" si="78"/>
        <v>0</v>
      </c>
      <c r="C688" s="2"/>
      <c r="D688" s="421" t="s">
        <v>1593</v>
      </c>
      <c r="E688" s="362" t="str">
        <f>Lists!C351</f>
        <v>Monitoring bore hole grouting</v>
      </c>
      <c r="F688" s="350"/>
      <c r="G688" s="422">
        <f>HLOOKUP(E688,'General Land Rehabilitation'!$E$92:$L$105,'General Land Rehabilitation'!N$105,FALSE)</f>
        <v>0</v>
      </c>
      <c r="H688" s="18"/>
      <c r="I688" s="362" t="str">
        <f>HLOOKUP(E688,'General Land Rehabilitation'!$E$92:$L$105,'General Land Rehabilitation'!N$93,FALSE)</f>
        <v>Whole # (bore)</v>
      </c>
      <c r="J688" s="420">
        <v>2106.1802246543266</v>
      </c>
      <c r="K688" s="105"/>
      <c r="L688" s="356">
        <f t="shared" si="79"/>
        <v>0</v>
      </c>
      <c r="M688" s="457"/>
      <c r="N688" s="68"/>
      <c r="O688" s="362" t="s">
        <v>1591</v>
      </c>
      <c r="P688" s="362" t="s">
        <v>1592</v>
      </c>
      <c r="Q688" s="339"/>
    </row>
    <row r="689" spans="1:17" s="336" customFormat="1" ht="33.75">
      <c r="A689" s="240"/>
      <c r="B689" s="319">
        <f t="shared" si="78"/>
        <v>0</v>
      </c>
      <c r="C689" s="2"/>
      <c r="D689" s="421" t="s">
        <v>1594</v>
      </c>
      <c r="E689" s="362" t="str">
        <f>Lists!C352</f>
        <v>Water reinjection bore hole grouting</v>
      </c>
      <c r="F689" s="350"/>
      <c r="G689" s="422">
        <f>HLOOKUP(E689,'General Land Rehabilitation'!$E$92:$L$105,'General Land Rehabilitation'!N$105,FALSE)</f>
        <v>0</v>
      </c>
      <c r="H689" s="18"/>
      <c r="I689" s="362" t="str">
        <f>HLOOKUP(E689,'General Land Rehabilitation'!$E$92:$L$105,'General Land Rehabilitation'!N$93,FALSE)</f>
        <v>Whole # (bore)</v>
      </c>
      <c r="J689" s="420">
        <v>6916.743975463698</v>
      </c>
      <c r="K689" s="105"/>
      <c r="L689" s="356">
        <f t="shared" si="79"/>
        <v>0</v>
      </c>
      <c r="M689" s="457"/>
      <c r="N689" s="68"/>
      <c r="O689" s="362" t="s">
        <v>1591</v>
      </c>
      <c r="P689" s="362" t="s">
        <v>1592</v>
      </c>
      <c r="Q689" s="339"/>
    </row>
    <row r="690" spans="1:17" s="336" customFormat="1">
      <c r="A690" s="240"/>
      <c r="B690" s="319">
        <f t="shared" si="78"/>
        <v>0</v>
      </c>
      <c r="C690" s="2"/>
      <c r="D690" s="421" t="s">
        <v>1595</v>
      </c>
      <c r="E690" s="70" t="s">
        <v>535</v>
      </c>
      <c r="F690" s="350"/>
      <c r="G690" s="353"/>
      <c r="H690" s="18"/>
      <c r="I690" s="62"/>
      <c r="J690" s="368"/>
      <c r="K690" s="102"/>
      <c r="L690" s="356">
        <f t="shared" si="79"/>
        <v>0</v>
      </c>
      <c r="M690" s="454"/>
      <c r="N690" s="68"/>
      <c r="O690" s="390"/>
      <c r="P690" s="84"/>
      <c r="Q690" s="363"/>
    </row>
    <row r="691" spans="1:17" s="336" customFormat="1">
      <c r="A691" s="240"/>
      <c r="B691" s="319">
        <f t="shared" si="78"/>
        <v>0</v>
      </c>
      <c r="C691" s="73"/>
      <c r="D691" s="421" t="s">
        <v>1596</v>
      </c>
      <c r="E691" s="72" t="s">
        <v>535</v>
      </c>
      <c r="F691" s="359"/>
      <c r="G691" s="353"/>
      <c r="H691" s="91"/>
      <c r="I691" s="64"/>
      <c r="J691" s="368"/>
      <c r="K691" s="104"/>
      <c r="L691" s="402">
        <f>H691*K691</f>
        <v>0</v>
      </c>
      <c r="M691" s="455"/>
      <c r="N691" s="80"/>
      <c r="O691" s="390"/>
      <c r="P691" s="72"/>
      <c r="Q691" s="363"/>
    </row>
    <row r="692" spans="1:17" s="336" customFormat="1">
      <c r="A692" s="240"/>
      <c r="B692" s="319">
        <v>1</v>
      </c>
      <c r="C692" s="370"/>
      <c r="D692" s="371"/>
      <c r="E692" s="371"/>
      <c r="F692" s="371"/>
      <c r="G692" s="371"/>
      <c r="H692" s="372"/>
      <c r="I692" s="371"/>
      <c r="J692" s="373"/>
      <c r="K692" s="374" t="s">
        <v>198</v>
      </c>
      <c r="L692" s="375">
        <f>SUBTOTAL(9,L641:L691)</f>
        <v>0</v>
      </c>
      <c r="M692" s="392"/>
      <c r="N692" s="393"/>
      <c r="O692" s="394"/>
      <c r="P692" s="395"/>
      <c r="Q692" s="339"/>
    </row>
    <row r="693" spans="1:17" s="336" customFormat="1" ht="15">
      <c r="A693" s="240"/>
      <c r="B693" s="319">
        <v>1</v>
      </c>
      <c r="C693" s="340" t="s">
        <v>1597</v>
      </c>
      <c r="D693" s="423"/>
      <c r="E693" s="342"/>
      <c r="F693" s="342"/>
      <c r="G693" s="342"/>
      <c r="H693" s="380"/>
      <c r="I693" s="342"/>
      <c r="J693" s="381"/>
      <c r="K693" s="382"/>
      <c r="L693" s="383"/>
      <c r="M693" s="346"/>
      <c r="N693" s="347"/>
      <c r="O693" s="348"/>
      <c r="P693" s="349"/>
      <c r="Q693" s="339"/>
    </row>
    <row r="694" spans="1:17" s="336" customFormat="1" ht="67.5">
      <c r="A694" s="240"/>
      <c r="B694" s="319">
        <f t="shared" si="78"/>
        <v>0</v>
      </c>
      <c r="C694" s="2"/>
      <c r="D694" s="424" t="s">
        <v>1598</v>
      </c>
      <c r="E694" s="362" t="s">
        <v>1599</v>
      </c>
      <c r="F694" s="350"/>
      <c r="G694" s="422">
        <f>'Investigation Contamination'!E20</f>
        <v>0</v>
      </c>
      <c r="H694" s="18"/>
      <c r="I694" s="362" t="s">
        <v>1600</v>
      </c>
      <c r="J694" s="420">
        <v>16149.961876122066</v>
      </c>
      <c r="K694" s="105"/>
      <c r="L694" s="402">
        <f>IF(K694="",J694,K694)*(H694+G694)</f>
        <v>0</v>
      </c>
      <c r="M694" s="453"/>
      <c r="N694" s="68"/>
      <c r="O694" s="362" t="s">
        <v>1601</v>
      </c>
      <c r="P694" s="362" t="s">
        <v>1602</v>
      </c>
      <c r="Q694" s="339"/>
    </row>
    <row r="695" spans="1:17" s="336" customFormat="1" ht="67.5">
      <c r="A695" s="240"/>
      <c r="B695" s="319">
        <f t="shared" si="78"/>
        <v>0</v>
      </c>
      <c r="C695" s="2"/>
      <c r="D695" s="424" t="s">
        <v>1603</v>
      </c>
      <c r="E695" s="362" t="s">
        <v>1604</v>
      </c>
      <c r="F695" s="350"/>
      <c r="G695" s="422">
        <f>'Investigation Contamination'!F20</f>
        <v>0</v>
      </c>
      <c r="H695" s="18"/>
      <c r="I695" s="362" t="s">
        <v>1242</v>
      </c>
      <c r="J695" s="420">
        <v>35075.581888424982</v>
      </c>
      <c r="K695" s="105"/>
      <c r="L695" s="402">
        <f t="shared" ref="L695:L727" si="86">IF(K695="",J695,K695)*(H695+G695)</f>
        <v>0</v>
      </c>
      <c r="M695" s="453"/>
      <c r="N695" s="68"/>
      <c r="O695" s="362" t="s">
        <v>1605</v>
      </c>
      <c r="P695" s="362" t="s">
        <v>1606</v>
      </c>
      <c r="Q695" s="339"/>
    </row>
    <row r="696" spans="1:17" s="336" customFormat="1" ht="67.5">
      <c r="A696" s="240"/>
      <c r="B696" s="319">
        <f t="shared" si="78"/>
        <v>0</v>
      </c>
      <c r="C696" s="2"/>
      <c r="D696" s="424" t="s">
        <v>1607</v>
      </c>
      <c r="E696" s="362" t="s">
        <v>1608</v>
      </c>
      <c r="F696" s="350"/>
      <c r="G696" s="425">
        <f>'Investigation Contamination'!L20</f>
        <v>0</v>
      </c>
      <c r="H696" s="18"/>
      <c r="I696" s="362" t="s">
        <v>119</v>
      </c>
      <c r="J696" s="420">
        <v>3920.7764895466953</v>
      </c>
      <c r="K696" s="105"/>
      <c r="L696" s="402">
        <f t="shared" si="86"/>
        <v>0</v>
      </c>
      <c r="M696" s="453"/>
      <c r="N696" s="68"/>
      <c r="O696" s="362" t="s">
        <v>1609</v>
      </c>
      <c r="P696" s="362" t="s">
        <v>1610</v>
      </c>
      <c r="Q696" s="339"/>
    </row>
    <row r="697" spans="1:17" s="336" customFormat="1" ht="56.25">
      <c r="A697" s="240"/>
      <c r="B697" s="319">
        <f t="shared" si="78"/>
        <v>0</v>
      </c>
      <c r="C697" s="2"/>
      <c r="D697" s="424" t="s">
        <v>1611</v>
      </c>
      <c r="E697" s="362" t="str">
        <f>Lists!C282</f>
        <v>Asbestos (ACM)</v>
      </c>
      <c r="F697" s="350"/>
      <c r="G697" s="422">
        <f>HLOOKUP(E697,'Investigation Contamination'!$J$25:$S$38,'Investigation Contamination'!$T$38,FALSE)</f>
        <v>0</v>
      </c>
      <c r="H697" s="18"/>
      <c r="I697" s="362" t="s">
        <v>19</v>
      </c>
      <c r="J697" s="420">
        <v>209.51380027327684</v>
      </c>
      <c r="K697" s="105"/>
      <c r="L697" s="402">
        <f t="shared" si="86"/>
        <v>0</v>
      </c>
      <c r="M697" s="453"/>
      <c r="N697" s="68"/>
      <c r="O697" s="362" t="s">
        <v>1612</v>
      </c>
      <c r="P697" s="362" t="s">
        <v>1613</v>
      </c>
      <c r="Q697" s="339"/>
    </row>
    <row r="698" spans="1:17" s="336" customFormat="1" ht="45">
      <c r="A698" s="240"/>
      <c r="B698" s="319">
        <f t="shared" si="78"/>
        <v>0</v>
      </c>
      <c r="C698" s="2"/>
      <c r="D698" s="424" t="s">
        <v>1614</v>
      </c>
      <c r="E698" s="362" t="str">
        <f>Lists!C283</f>
        <v>Asbestos in soil</v>
      </c>
      <c r="F698" s="350"/>
      <c r="G698" s="422">
        <f>HLOOKUP(E698,'Investigation Contamination'!$J$25:$S$38,'Investigation Contamination'!$T$38,FALSE)</f>
        <v>0</v>
      </c>
      <c r="H698" s="18"/>
      <c r="I698" s="362" t="s">
        <v>19</v>
      </c>
      <c r="J698" s="420">
        <v>208.51380027327684</v>
      </c>
      <c r="K698" s="105"/>
      <c r="L698" s="402">
        <f t="shared" si="86"/>
        <v>0</v>
      </c>
      <c r="M698" s="453"/>
      <c r="N698" s="68"/>
      <c r="O698" s="362" t="s">
        <v>1615</v>
      </c>
      <c r="P698" s="362" t="s">
        <v>1616</v>
      </c>
      <c r="Q698" s="339"/>
    </row>
    <row r="699" spans="1:17" s="336" customFormat="1" ht="45">
      <c r="A699" s="240"/>
      <c r="B699" s="319">
        <f t="shared" si="78"/>
        <v>0</v>
      </c>
      <c r="C699" s="2"/>
      <c r="D699" s="424" t="s">
        <v>1617</v>
      </c>
      <c r="E699" s="362" t="str">
        <f>Lists!C284</f>
        <v>Low Level Petroleum Hydrocarbons in soil</v>
      </c>
      <c r="F699" s="350"/>
      <c r="G699" s="422">
        <f>HLOOKUP(E699,'Investigation Contamination'!$J$25:$S$38,'Investigation Contamination'!$T$38,FALSE)</f>
        <v>0</v>
      </c>
      <c r="H699" s="18"/>
      <c r="I699" s="362" t="s">
        <v>19</v>
      </c>
      <c r="J699" s="420">
        <v>93.513800273276843</v>
      </c>
      <c r="K699" s="105"/>
      <c r="L699" s="402">
        <f t="shared" si="86"/>
        <v>0</v>
      </c>
      <c r="M699" s="453"/>
      <c r="N699" s="68"/>
      <c r="O699" s="362" t="s">
        <v>1618</v>
      </c>
      <c r="P699" s="362" t="s">
        <v>1619</v>
      </c>
      <c r="Q699" s="339"/>
    </row>
    <row r="700" spans="1:17" s="336" customFormat="1" ht="45">
      <c r="A700" s="240"/>
      <c r="B700" s="319">
        <f t="shared" si="78"/>
        <v>0</v>
      </c>
      <c r="C700" s="2"/>
      <c r="D700" s="424" t="s">
        <v>1620</v>
      </c>
      <c r="E700" s="362" t="str">
        <f>Lists!C285</f>
        <v>High Level Petroleum Hydrocarbons in soil</v>
      </c>
      <c r="F700" s="350"/>
      <c r="G700" s="422">
        <f>HLOOKUP(E700,'Investigation Contamination'!$J$25:$S$38,'Investigation Contamination'!$T$38,FALSE)</f>
        <v>0</v>
      </c>
      <c r="H700" s="18"/>
      <c r="I700" s="362" t="s">
        <v>19</v>
      </c>
      <c r="J700" s="420">
        <v>208.51380027327684</v>
      </c>
      <c r="K700" s="105"/>
      <c r="L700" s="402">
        <f t="shared" si="86"/>
        <v>0</v>
      </c>
      <c r="M700" s="453"/>
      <c r="N700" s="68"/>
      <c r="O700" s="362" t="s">
        <v>1621</v>
      </c>
      <c r="P700" s="362" t="s">
        <v>1622</v>
      </c>
      <c r="Q700" s="339"/>
    </row>
    <row r="701" spans="1:17" s="336" customFormat="1" ht="45">
      <c r="A701" s="240"/>
      <c r="B701" s="319">
        <f t="shared" si="78"/>
        <v>0</v>
      </c>
      <c r="C701" s="2"/>
      <c r="D701" s="424" t="s">
        <v>1623</v>
      </c>
      <c r="E701" s="362" t="str">
        <f>Lists!C286</f>
        <v>Low level inorganics in soil</v>
      </c>
      <c r="F701" s="350"/>
      <c r="G701" s="422">
        <f>HLOOKUP(E701,'Investigation Contamination'!$J$25:$S$38,'Investigation Contamination'!$T$38,FALSE)</f>
        <v>0</v>
      </c>
      <c r="H701" s="18"/>
      <c r="I701" s="362" t="s">
        <v>19</v>
      </c>
      <c r="J701" s="420">
        <v>28.513800273276836</v>
      </c>
      <c r="K701" s="105"/>
      <c r="L701" s="402">
        <f t="shared" si="86"/>
        <v>0</v>
      </c>
      <c r="M701" s="453"/>
      <c r="N701" s="68"/>
      <c r="O701" s="362" t="s">
        <v>1624</v>
      </c>
      <c r="P701" s="362" t="s">
        <v>1625</v>
      </c>
      <c r="Q701" s="339"/>
    </row>
    <row r="702" spans="1:17" s="336" customFormat="1" ht="45">
      <c r="A702" s="240"/>
      <c r="B702" s="319">
        <f t="shared" si="78"/>
        <v>0</v>
      </c>
      <c r="C702" s="2"/>
      <c r="D702" s="424" t="s">
        <v>1626</v>
      </c>
      <c r="E702" s="362" t="str">
        <f>Lists!C287</f>
        <v>High level inorganics in soil</v>
      </c>
      <c r="F702" s="350"/>
      <c r="G702" s="422">
        <f>HLOOKUP(E702,'Investigation Contamination'!$J$25:$S$38,'Investigation Contamination'!$T$38,FALSE)</f>
        <v>0</v>
      </c>
      <c r="H702" s="18"/>
      <c r="I702" s="362" t="s">
        <v>19</v>
      </c>
      <c r="J702" s="420">
        <v>208.51380027327684</v>
      </c>
      <c r="K702" s="105"/>
      <c r="L702" s="402">
        <f t="shared" si="86"/>
        <v>0</v>
      </c>
      <c r="M702" s="453"/>
      <c r="N702" s="68"/>
      <c r="O702" s="362" t="s">
        <v>1627</v>
      </c>
      <c r="P702" s="362" t="s">
        <v>1628</v>
      </c>
      <c r="Q702" s="339"/>
    </row>
    <row r="703" spans="1:17" s="336" customFormat="1" ht="45">
      <c r="A703" s="240"/>
      <c r="B703" s="319">
        <f t="shared" si="78"/>
        <v>0</v>
      </c>
      <c r="C703" s="2"/>
      <c r="D703" s="424" t="s">
        <v>1629</v>
      </c>
      <c r="E703" s="362" t="str">
        <f>Lists!C288</f>
        <v>General Waste</v>
      </c>
      <c r="F703" s="350"/>
      <c r="G703" s="422">
        <f>HLOOKUP(E703,'Investigation Contamination'!$J$25:$S$38,'Investigation Contamination'!$T$38,FALSE)</f>
        <v>0</v>
      </c>
      <c r="H703" s="18"/>
      <c r="I703" s="362" t="s">
        <v>19</v>
      </c>
      <c r="J703" s="420">
        <v>94.233344869441197</v>
      </c>
      <c r="K703" s="105"/>
      <c r="L703" s="402">
        <f t="shared" ref="L703:L706" si="87">IF(K703="",J703,K703)*(H703+G703)</f>
        <v>0</v>
      </c>
      <c r="M703" s="453"/>
      <c r="N703" s="68"/>
      <c r="O703" s="362" t="s">
        <v>1630</v>
      </c>
      <c r="P703" s="362" t="s">
        <v>1628</v>
      </c>
      <c r="Q703" s="339"/>
    </row>
    <row r="704" spans="1:17" s="336" customFormat="1" ht="45">
      <c r="A704" s="240"/>
      <c r="B704" s="319">
        <f t="shared" si="78"/>
        <v>0</v>
      </c>
      <c r="C704" s="2"/>
      <c r="D704" s="424" t="s">
        <v>1631</v>
      </c>
      <c r="E704" s="362" t="str">
        <f>Lists!C289</f>
        <v>Construction / building waste</v>
      </c>
      <c r="F704" s="350"/>
      <c r="G704" s="422">
        <f>HLOOKUP(E704,'Investigation Contamination'!$J$25:$S$38,'Investigation Contamination'!$T$38,FALSE)</f>
        <v>0</v>
      </c>
      <c r="H704" s="18"/>
      <c r="I704" s="362" t="s">
        <v>19</v>
      </c>
      <c r="J704" s="420">
        <v>95.233344869441197</v>
      </c>
      <c r="K704" s="105"/>
      <c r="L704" s="402">
        <f t="shared" si="87"/>
        <v>0</v>
      </c>
      <c r="M704" s="453"/>
      <c r="N704" s="68"/>
      <c r="O704" s="362" t="s">
        <v>1632</v>
      </c>
      <c r="P704" s="362" t="s">
        <v>1628</v>
      </c>
      <c r="Q704" s="339"/>
    </row>
    <row r="705" spans="1:17" s="336" customFormat="1" ht="45">
      <c r="A705" s="240"/>
      <c r="B705" s="319">
        <f t="shared" si="78"/>
        <v>0</v>
      </c>
      <c r="C705" s="2"/>
      <c r="D705" s="424" t="s">
        <v>1633</v>
      </c>
      <c r="E705" s="362" t="str">
        <f>Lists!C290</f>
        <v>Regulated waste (e.g. tires and belts)</v>
      </c>
      <c r="F705" s="350"/>
      <c r="G705" s="422">
        <f>HLOOKUP(E705,'Investigation Contamination'!$J$25:$S$38,'Investigation Contamination'!$T$38,FALSE)</f>
        <v>0</v>
      </c>
      <c r="H705" s="18"/>
      <c r="I705" s="362" t="s">
        <v>19</v>
      </c>
      <c r="J705" s="420">
        <v>212.51380027327684</v>
      </c>
      <c r="K705" s="105"/>
      <c r="L705" s="402">
        <f t="shared" si="87"/>
        <v>0</v>
      </c>
      <c r="M705" s="453"/>
      <c r="N705" s="68"/>
      <c r="O705" s="362" t="s">
        <v>1634</v>
      </c>
      <c r="P705" s="362" t="s">
        <v>1628</v>
      </c>
      <c r="Q705" s="339"/>
    </row>
    <row r="706" spans="1:17" s="336" customFormat="1" ht="45">
      <c r="A706" s="240"/>
      <c r="B706" s="319">
        <f t="shared" si="78"/>
        <v>0</v>
      </c>
      <c r="C706" s="2"/>
      <c r="D706" s="424" t="s">
        <v>1635</v>
      </c>
      <c r="E706" s="362" t="str">
        <f>Lists!C291</f>
        <v>Sludge</v>
      </c>
      <c r="F706" s="350"/>
      <c r="G706" s="422">
        <f>HLOOKUP(E706,'Investigation Contamination'!$J$25:$S$38,'Investigation Contamination'!$T$38,FALSE)</f>
        <v>0</v>
      </c>
      <c r="H706" s="18"/>
      <c r="I706" s="362" t="s">
        <v>19</v>
      </c>
      <c r="J706" s="420">
        <v>113.51380027327684</v>
      </c>
      <c r="K706" s="105"/>
      <c r="L706" s="402">
        <f t="shared" si="87"/>
        <v>0</v>
      </c>
      <c r="M706" s="453"/>
      <c r="N706" s="68"/>
      <c r="O706" s="362" t="s">
        <v>1636</v>
      </c>
      <c r="P706" s="362" t="s">
        <v>1637</v>
      </c>
      <c r="Q706" s="339"/>
    </row>
    <row r="707" spans="1:17" s="336" customFormat="1" ht="33.75">
      <c r="A707" s="240"/>
      <c r="B707" s="319">
        <f t="shared" si="78"/>
        <v>0</v>
      </c>
      <c r="C707" s="2"/>
      <c r="D707" s="424" t="s">
        <v>1638</v>
      </c>
      <c r="E707" s="362" t="str">
        <f>Subrates!C58</f>
        <v>Concrete levy - metro</v>
      </c>
      <c r="F707" s="350"/>
      <c r="G707" s="426">
        <f>'Waste Register'!L103</f>
        <v>0</v>
      </c>
      <c r="H707" s="427"/>
      <c r="I707" s="362" t="s">
        <v>19</v>
      </c>
      <c r="J707" s="428">
        <v>105</v>
      </c>
      <c r="K707" s="105"/>
      <c r="L707" s="402">
        <f t="shared" si="86"/>
        <v>0</v>
      </c>
      <c r="M707" s="453"/>
      <c r="N707" s="68"/>
      <c r="O707" s="362" t="s">
        <v>1639</v>
      </c>
      <c r="P707" s="362" t="s">
        <v>1640</v>
      </c>
      <c r="Q707" s="339"/>
    </row>
    <row r="708" spans="1:17" s="336" customFormat="1" ht="33.75">
      <c r="A708" s="240"/>
      <c r="B708" s="319">
        <f t="shared" ref="B708:B727" si="88">IF(L708&gt;0,1,0)</f>
        <v>0</v>
      </c>
      <c r="C708" s="2"/>
      <c r="D708" s="424" t="s">
        <v>1641</v>
      </c>
      <c r="E708" s="362" t="str">
        <f>Subrates!C59</f>
        <v>Concrete levy - regional</v>
      </c>
      <c r="F708" s="350"/>
      <c r="G708" s="422">
        <f>'Waste Register'!M103</f>
        <v>0</v>
      </c>
      <c r="H708" s="429"/>
      <c r="I708" s="362" t="s">
        <v>19</v>
      </c>
      <c r="J708" s="428">
        <v>91</v>
      </c>
      <c r="K708" s="105"/>
      <c r="L708" s="402">
        <f t="shared" si="86"/>
        <v>0</v>
      </c>
      <c r="M708" s="453"/>
      <c r="N708" s="68"/>
      <c r="O708" s="362" t="s">
        <v>1639</v>
      </c>
      <c r="P708" s="362" t="s">
        <v>1640</v>
      </c>
      <c r="Q708" s="339"/>
    </row>
    <row r="709" spans="1:17" s="336" customFormat="1" ht="33.75">
      <c r="A709" s="240"/>
      <c r="B709" s="319">
        <f t="shared" si="88"/>
        <v>0</v>
      </c>
      <c r="C709" s="2"/>
      <c r="D709" s="424" t="s">
        <v>1642</v>
      </c>
      <c r="E709" s="362" t="str">
        <f>Subrates!C70</f>
        <v>High Level Petroleum Hydrocarbons in soil levy - metro</v>
      </c>
      <c r="F709" s="350"/>
      <c r="G709" s="422">
        <f>'Waste Register'!L110</f>
        <v>0</v>
      </c>
      <c r="H709" s="430">
        <f>IF(Registration!$D$19=Waste_levy_Metro,H700,0)</f>
        <v>0</v>
      </c>
      <c r="I709" s="362" t="s">
        <v>19</v>
      </c>
      <c r="J709" s="428">
        <v>185</v>
      </c>
      <c r="K709" s="105"/>
      <c r="L709" s="402">
        <f t="shared" si="86"/>
        <v>0</v>
      </c>
      <c r="M709" s="453"/>
      <c r="N709" s="68"/>
      <c r="O709" s="362" t="s">
        <v>1639</v>
      </c>
      <c r="P709" s="362" t="s">
        <v>1640</v>
      </c>
      <c r="Q709" s="339"/>
    </row>
    <row r="710" spans="1:17" s="336" customFormat="1" ht="33.75">
      <c r="A710" s="240"/>
      <c r="B710" s="319">
        <f t="shared" si="88"/>
        <v>0</v>
      </c>
      <c r="C710" s="2"/>
      <c r="D710" s="424" t="s">
        <v>1643</v>
      </c>
      <c r="E710" s="362" t="str">
        <f>Subrates!C71</f>
        <v>High Level Petroleum Hydrocarbons in soil levy - regional</v>
      </c>
      <c r="F710" s="350"/>
      <c r="G710" s="422">
        <f>'Waste Register'!M110</f>
        <v>0</v>
      </c>
      <c r="H710" s="430">
        <f>IF(Registration!$D$19=Waste_Levy_regional,H700,0)</f>
        <v>0</v>
      </c>
      <c r="I710" s="362" t="s">
        <v>19</v>
      </c>
      <c r="J710" s="428">
        <v>179</v>
      </c>
      <c r="K710" s="105"/>
      <c r="L710" s="402">
        <f t="shared" si="86"/>
        <v>0</v>
      </c>
      <c r="M710" s="453"/>
      <c r="N710" s="68"/>
      <c r="O710" s="362" t="s">
        <v>1639</v>
      </c>
      <c r="P710" s="362" t="s">
        <v>1640</v>
      </c>
      <c r="Q710" s="339"/>
    </row>
    <row r="711" spans="1:17" s="336" customFormat="1" ht="33.75">
      <c r="A711" s="240"/>
      <c r="B711" s="319">
        <f t="shared" si="88"/>
        <v>0</v>
      </c>
      <c r="C711" s="2"/>
      <c r="D711" s="424" t="s">
        <v>1644</v>
      </c>
      <c r="E711" s="362" t="str">
        <f>Subrates!C73</f>
        <v>Asbestos (ACM) Levy - metro</v>
      </c>
      <c r="F711" s="350"/>
      <c r="G711" s="422">
        <f>'Waste Register'!L107</f>
        <v>0</v>
      </c>
      <c r="H711" s="430">
        <f>IF(Registration!$D$19=Waste_levy_Metro,H697,0)</f>
        <v>0</v>
      </c>
      <c r="I711" s="362" t="s">
        <v>19</v>
      </c>
      <c r="J711" s="428">
        <v>135</v>
      </c>
      <c r="K711" s="105"/>
      <c r="L711" s="402">
        <f t="shared" si="86"/>
        <v>0</v>
      </c>
      <c r="M711" s="453"/>
      <c r="N711" s="68"/>
      <c r="O711" s="362" t="s">
        <v>1639</v>
      </c>
      <c r="P711" s="362" t="s">
        <v>1640</v>
      </c>
      <c r="Q711" s="339"/>
    </row>
    <row r="712" spans="1:17" s="336" customFormat="1" ht="33.75">
      <c r="A712" s="240"/>
      <c r="B712" s="319">
        <f t="shared" si="88"/>
        <v>0</v>
      </c>
      <c r="C712" s="2"/>
      <c r="D712" s="424" t="s">
        <v>1645</v>
      </c>
      <c r="E712" s="362" t="str">
        <f>Subrates!C74</f>
        <v>Asbestos (ACM) Levy - regional</v>
      </c>
      <c r="F712" s="350"/>
      <c r="G712" s="422">
        <f>'Waste Register'!M107</f>
        <v>0</v>
      </c>
      <c r="H712" s="430">
        <f>IF(Registration!$D$19=Waste_Levy_regional,H697,0)</f>
        <v>0</v>
      </c>
      <c r="I712" s="362" t="s">
        <v>19</v>
      </c>
      <c r="J712" s="428">
        <v>124</v>
      </c>
      <c r="K712" s="105"/>
      <c r="L712" s="402">
        <f t="shared" si="86"/>
        <v>0</v>
      </c>
      <c r="M712" s="453"/>
      <c r="N712" s="68"/>
      <c r="O712" s="362" t="s">
        <v>1639</v>
      </c>
      <c r="P712" s="362" t="s">
        <v>1640</v>
      </c>
      <c r="Q712" s="339"/>
    </row>
    <row r="713" spans="1:17" s="336" customFormat="1" ht="33.75">
      <c r="A713" s="240"/>
      <c r="B713" s="319">
        <f t="shared" si="88"/>
        <v>0</v>
      </c>
      <c r="C713" s="2"/>
      <c r="D713" s="424" t="s">
        <v>1646</v>
      </c>
      <c r="E713" s="362" t="str">
        <f>Subrates!C76</f>
        <v>Asbestos in soil levy - metro</v>
      </c>
      <c r="F713" s="350"/>
      <c r="G713" s="422">
        <f>'Waste Register'!L108</f>
        <v>0</v>
      </c>
      <c r="H713" s="430">
        <f>IF(Registration!$D$19=Waste_levy_Metro,H698,0)</f>
        <v>0</v>
      </c>
      <c r="I713" s="362" t="s">
        <v>19</v>
      </c>
      <c r="J713" s="428">
        <v>135</v>
      </c>
      <c r="K713" s="105"/>
      <c r="L713" s="402">
        <f t="shared" si="86"/>
        <v>0</v>
      </c>
      <c r="M713" s="453"/>
      <c r="N713" s="68"/>
      <c r="O713" s="362" t="s">
        <v>1639</v>
      </c>
      <c r="P713" s="362" t="s">
        <v>1640</v>
      </c>
      <c r="Q713" s="339"/>
    </row>
    <row r="714" spans="1:17" s="336" customFormat="1" ht="33.75">
      <c r="A714" s="240"/>
      <c r="B714" s="319">
        <f t="shared" si="88"/>
        <v>0</v>
      </c>
      <c r="C714" s="2"/>
      <c r="D714" s="424" t="s">
        <v>1647</v>
      </c>
      <c r="E714" s="362" t="str">
        <f>Subrates!C77</f>
        <v>Asbestos in soil levy - regional</v>
      </c>
      <c r="F714" s="350"/>
      <c r="G714" s="422">
        <f>'Waste Register'!M108</f>
        <v>0</v>
      </c>
      <c r="H714" s="430">
        <f>IF(Registration!$D$19=Waste_Levy_regional,H698,0)</f>
        <v>0</v>
      </c>
      <c r="I714" s="362" t="s">
        <v>19</v>
      </c>
      <c r="J714" s="428">
        <v>124</v>
      </c>
      <c r="K714" s="105"/>
      <c r="L714" s="402">
        <f t="shared" si="86"/>
        <v>0</v>
      </c>
      <c r="M714" s="453"/>
      <c r="N714" s="68"/>
      <c r="O714" s="362" t="s">
        <v>1639</v>
      </c>
      <c r="P714" s="362" t="s">
        <v>1640</v>
      </c>
      <c r="Q714" s="339"/>
    </row>
    <row r="715" spans="1:17" s="336" customFormat="1" ht="33.75">
      <c r="A715" s="240"/>
      <c r="B715" s="319">
        <f t="shared" si="88"/>
        <v>0</v>
      </c>
      <c r="C715" s="2"/>
      <c r="D715" s="424" t="s">
        <v>1648</v>
      </c>
      <c r="E715" s="362" t="str">
        <f>Subrates!C82</f>
        <v>High level inorganics in soil levy - metro</v>
      </c>
      <c r="F715" s="350"/>
      <c r="G715" s="422">
        <f>'Waste Register'!L112</f>
        <v>0</v>
      </c>
      <c r="H715" s="430">
        <f>IF(Registration!$D$19=Waste_levy_Metro,H702,0)</f>
        <v>0</v>
      </c>
      <c r="I715" s="362" t="s">
        <v>19</v>
      </c>
      <c r="J715" s="428">
        <v>135</v>
      </c>
      <c r="K715" s="105"/>
      <c r="L715" s="402">
        <f t="shared" si="86"/>
        <v>0</v>
      </c>
      <c r="M715" s="453"/>
      <c r="N715" s="68"/>
      <c r="O715" s="362" t="s">
        <v>1639</v>
      </c>
      <c r="P715" s="362" t="s">
        <v>1640</v>
      </c>
      <c r="Q715" s="339"/>
    </row>
    <row r="716" spans="1:17" s="336" customFormat="1" ht="33.75">
      <c r="A716" s="240"/>
      <c r="B716" s="319">
        <f t="shared" si="88"/>
        <v>0</v>
      </c>
      <c r="C716" s="2"/>
      <c r="D716" s="424" t="s">
        <v>1649</v>
      </c>
      <c r="E716" s="362" t="str">
        <f>Subrates!C83</f>
        <v>High level inorganics in soil levy - regional</v>
      </c>
      <c r="F716" s="350"/>
      <c r="G716" s="422">
        <f>'Waste Register'!M112</f>
        <v>0</v>
      </c>
      <c r="H716" s="430">
        <f>IF(Registration!$D$19=Waste_Levy_regional,H702,0)</f>
        <v>0</v>
      </c>
      <c r="I716" s="362" t="s">
        <v>19</v>
      </c>
      <c r="J716" s="428">
        <v>124</v>
      </c>
      <c r="K716" s="105"/>
      <c r="L716" s="402">
        <f t="shared" si="86"/>
        <v>0</v>
      </c>
      <c r="M716" s="453"/>
      <c r="N716" s="68"/>
      <c r="O716" s="362" t="s">
        <v>1639</v>
      </c>
      <c r="P716" s="362" t="s">
        <v>1640</v>
      </c>
      <c r="Q716" s="339"/>
    </row>
    <row r="717" spans="1:17" s="336" customFormat="1" ht="33.75">
      <c r="A717" s="240"/>
      <c r="B717" s="319">
        <f t="shared" si="88"/>
        <v>0</v>
      </c>
      <c r="C717" s="2"/>
      <c r="D717" s="424" t="s">
        <v>1650</v>
      </c>
      <c r="E717" s="362" t="str">
        <f>Subrates!C85</f>
        <v>General Waste levy - metro</v>
      </c>
      <c r="F717" s="350"/>
      <c r="G717" s="422">
        <f>'Waste Register'!L111</f>
        <v>0</v>
      </c>
      <c r="H717" s="430">
        <f>IF(Registration!$D$19=Waste_levy_Metro,H703,0)</f>
        <v>0</v>
      </c>
      <c r="I717" s="362" t="s">
        <v>19</v>
      </c>
      <c r="J717" s="428">
        <v>105</v>
      </c>
      <c r="K717" s="105"/>
      <c r="L717" s="402">
        <f t="shared" si="86"/>
        <v>0</v>
      </c>
      <c r="M717" s="453"/>
      <c r="N717" s="68"/>
      <c r="O717" s="362" t="s">
        <v>1639</v>
      </c>
      <c r="P717" s="362" t="s">
        <v>1640</v>
      </c>
      <c r="Q717" s="339"/>
    </row>
    <row r="718" spans="1:17" s="336" customFormat="1" ht="33.75">
      <c r="A718" s="240"/>
      <c r="B718" s="319">
        <f t="shared" si="88"/>
        <v>0</v>
      </c>
      <c r="C718" s="2"/>
      <c r="D718" s="424" t="s">
        <v>1651</v>
      </c>
      <c r="E718" s="362" t="str">
        <f>Subrates!C86</f>
        <v>General Waste levy - regional</v>
      </c>
      <c r="F718" s="350"/>
      <c r="G718" s="422">
        <f>'Waste Register'!M112</f>
        <v>0</v>
      </c>
      <c r="H718" s="430">
        <f>IF(Registration!$D$19=Waste_Levy_regional,H703,0)</f>
        <v>0</v>
      </c>
      <c r="I718" s="362" t="s">
        <v>19</v>
      </c>
      <c r="J718" s="428">
        <v>91</v>
      </c>
      <c r="K718" s="105"/>
      <c r="L718" s="402">
        <f t="shared" si="86"/>
        <v>0</v>
      </c>
      <c r="M718" s="453"/>
      <c r="N718" s="68"/>
      <c r="O718" s="362" t="s">
        <v>1639</v>
      </c>
      <c r="P718" s="362" t="s">
        <v>1640</v>
      </c>
      <c r="Q718" s="339"/>
    </row>
    <row r="719" spans="1:17" s="336" customFormat="1" ht="33.75">
      <c r="A719" s="240"/>
      <c r="B719" s="319">
        <f t="shared" si="88"/>
        <v>0</v>
      </c>
      <c r="C719" s="2"/>
      <c r="D719" s="424" t="s">
        <v>1652</v>
      </c>
      <c r="E719" s="362" t="str">
        <f>Subrates!C88</f>
        <v>Construction / building waste levy - metro</v>
      </c>
      <c r="F719" s="350"/>
      <c r="G719" s="422">
        <f>'Waste Register'!L114</f>
        <v>0</v>
      </c>
      <c r="H719" s="430">
        <f>IF(Registration!$D$19=Waste_levy_Metro,H704,0)</f>
        <v>0</v>
      </c>
      <c r="I719" s="362" t="s">
        <v>19</v>
      </c>
      <c r="J719" s="428">
        <v>105</v>
      </c>
      <c r="K719" s="105"/>
      <c r="L719" s="402">
        <f t="shared" si="86"/>
        <v>0</v>
      </c>
      <c r="M719" s="453"/>
      <c r="N719" s="68"/>
      <c r="O719" s="362" t="s">
        <v>1639</v>
      </c>
      <c r="P719" s="362" t="s">
        <v>1640</v>
      </c>
      <c r="Q719" s="339"/>
    </row>
    <row r="720" spans="1:17" s="336" customFormat="1" ht="33.75">
      <c r="A720" s="240"/>
      <c r="B720" s="319">
        <f t="shared" si="88"/>
        <v>0</v>
      </c>
      <c r="C720" s="2"/>
      <c r="D720" s="424" t="s">
        <v>1653</v>
      </c>
      <c r="E720" s="362" t="str">
        <f>Subrates!C89</f>
        <v>Construction / building waste levy - regional</v>
      </c>
      <c r="F720" s="350"/>
      <c r="G720" s="422">
        <f>'Waste Register'!M114</f>
        <v>0</v>
      </c>
      <c r="H720" s="430">
        <f>IF(Registration!$D$19=Waste_Levy_regional,H704,0)</f>
        <v>0</v>
      </c>
      <c r="I720" s="362" t="s">
        <v>19</v>
      </c>
      <c r="J720" s="428">
        <v>91</v>
      </c>
      <c r="K720" s="105"/>
      <c r="L720" s="402">
        <f t="shared" si="86"/>
        <v>0</v>
      </c>
      <c r="M720" s="453"/>
      <c r="N720" s="68"/>
      <c r="O720" s="362" t="s">
        <v>1639</v>
      </c>
      <c r="P720" s="362" t="s">
        <v>1640</v>
      </c>
      <c r="Q720" s="339"/>
    </row>
    <row r="721" spans="1:17" s="336" customFormat="1" ht="33.75">
      <c r="A721" s="240"/>
      <c r="B721" s="319">
        <f t="shared" si="88"/>
        <v>0</v>
      </c>
      <c r="C721" s="2"/>
      <c r="D721" s="424" t="s">
        <v>1654</v>
      </c>
      <c r="E721" s="362" t="str">
        <f>Subrates!C91</f>
        <v>Regulated waste (e.g. tires and belts) levy - metro</v>
      </c>
      <c r="F721" s="350"/>
      <c r="G721" s="422">
        <f>'Waste Register'!L115</f>
        <v>0</v>
      </c>
      <c r="H721" s="430">
        <f>IF(Registration!$D$19=Waste_levy_Metro,H705,0)</f>
        <v>0</v>
      </c>
      <c r="I721" s="362" t="s">
        <v>19</v>
      </c>
      <c r="J721" s="428">
        <v>135</v>
      </c>
      <c r="K721" s="105"/>
      <c r="L721" s="402">
        <f t="shared" si="86"/>
        <v>0</v>
      </c>
      <c r="M721" s="453"/>
      <c r="N721" s="68"/>
      <c r="O721" s="362" t="s">
        <v>1639</v>
      </c>
      <c r="P721" s="362" t="s">
        <v>1640</v>
      </c>
      <c r="Q721" s="339"/>
    </row>
    <row r="722" spans="1:17" s="336" customFormat="1" ht="33.75">
      <c r="A722" s="240"/>
      <c r="B722" s="319">
        <f t="shared" si="88"/>
        <v>0</v>
      </c>
      <c r="C722" s="2"/>
      <c r="D722" s="424" t="s">
        <v>1655</v>
      </c>
      <c r="E722" s="362" t="str">
        <f>Subrates!C92</f>
        <v>Regulated waste (e.g. tires and belts) levy - regional</v>
      </c>
      <c r="F722" s="350"/>
      <c r="G722" s="422">
        <f>'Waste Register'!M115</f>
        <v>0</v>
      </c>
      <c r="H722" s="430">
        <f>IF(Registration!$D$19=Waste_Levy_regional,H705,0)</f>
        <v>0</v>
      </c>
      <c r="I722" s="362" t="s">
        <v>19</v>
      </c>
      <c r="J722" s="428">
        <v>124</v>
      </c>
      <c r="K722" s="105"/>
      <c r="L722" s="402">
        <f t="shared" si="86"/>
        <v>0</v>
      </c>
      <c r="M722" s="453"/>
      <c r="N722" s="68"/>
      <c r="O722" s="362" t="s">
        <v>1639</v>
      </c>
      <c r="P722" s="362" t="s">
        <v>1640</v>
      </c>
      <c r="Q722" s="339"/>
    </row>
    <row r="723" spans="1:17" s="336" customFormat="1" ht="67.5">
      <c r="A723" s="240"/>
      <c r="B723" s="319">
        <f t="shared" si="88"/>
        <v>0</v>
      </c>
      <c r="C723" s="2"/>
      <c r="D723" s="424" t="s">
        <v>1656</v>
      </c>
      <c r="E723" s="362" t="s">
        <v>1657</v>
      </c>
      <c r="F723" s="350"/>
      <c r="G723" s="353"/>
      <c r="H723" s="18"/>
      <c r="I723" s="362" t="s">
        <v>19</v>
      </c>
      <c r="J723" s="428">
        <v>81.673258124091987</v>
      </c>
      <c r="K723" s="105"/>
      <c r="L723" s="402">
        <f t="shared" si="86"/>
        <v>0</v>
      </c>
      <c r="M723" s="453"/>
      <c r="N723" s="68"/>
      <c r="O723" s="362" t="s">
        <v>1658</v>
      </c>
      <c r="P723" s="362" t="s">
        <v>1659</v>
      </c>
      <c r="Q723" s="339"/>
    </row>
    <row r="724" spans="1:17" s="336" customFormat="1" ht="67.5">
      <c r="A724" s="240"/>
      <c r="B724" s="319">
        <f t="shared" si="88"/>
        <v>0</v>
      </c>
      <c r="C724" s="2"/>
      <c r="D724" s="424" t="s">
        <v>1660</v>
      </c>
      <c r="E724" s="362" t="s">
        <v>1661</v>
      </c>
      <c r="F724" s="350"/>
      <c r="G724" s="353"/>
      <c r="H724" s="18"/>
      <c r="I724" s="362" t="s">
        <v>19</v>
      </c>
      <c r="J724" s="428">
        <v>27.321967619991558</v>
      </c>
      <c r="K724" s="105"/>
      <c r="L724" s="402">
        <f t="shared" si="86"/>
        <v>0</v>
      </c>
      <c r="M724" s="453"/>
      <c r="N724" s="68"/>
      <c r="O724" s="362" t="s">
        <v>1658</v>
      </c>
      <c r="P724" s="362" t="s">
        <v>1659</v>
      </c>
      <c r="Q724" s="339"/>
    </row>
    <row r="725" spans="1:17" s="336" customFormat="1" ht="67.5">
      <c r="A725" s="240"/>
      <c r="B725" s="319">
        <f t="shared" si="88"/>
        <v>0</v>
      </c>
      <c r="C725" s="2"/>
      <c r="D725" s="424" t="s">
        <v>1662</v>
      </c>
      <c r="E725" s="362" t="s">
        <v>1663</v>
      </c>
      <c r="F725" s="350"/>
      <c r="G725" s="353"/>
      <c r="H725" s="18"/>
      <c r="I725" s="362" t="s">
        <v>19</v>
      </c>
      <c r="J725" s="428">
        <v>9.286497556462205</v>
      </c>
      <c r="K725" s="105"/>
      <c r="L725" s="402">
        <f t="shared" si="86"/>
        <v>0</v>
      </c>
      <c r="M725" s="453"/>
      <c r="N725" s="68"/>
      <c r="O725" s="362" t="s">
        <v>1658</v>
      </c>
      <c r="P725" s="362" t="s">
        <v>1659</v>
      </c>
      <c r="Q725" s="339"/>
    </row>
    <row r="726" spans="1:17" s="336" customFormat="1">
      <c r="A726" s="240"/>
      <c r="B726" s="319">
        <f t="shared" si="88"/>
        <v>0</v>
      </c>
      <c r="C726" s="2"/>
      <c r="D726" s="424" t="s">
        <v>1664</v>
      </c>
      <c r="E726" s="70" t="s">
        <v>535</v>
      </c>
      <c r="F726" s="350"/>
      <c r="G726" s="353"/>
      <c r="H726" s="19"/>
      <c r="I726" s="77"/>
      <c r="J726" s="389"/>
      <c r="K726" s="102"/>
      <c r="L726" s="402">
        <f t="shared" si="86"/>
        <v>0</v>
      </c>
      <c r="M726" s="453"/>
      <c r="N726" s="68"/>
      <c r="O726" s="390"/>
      <c r="P726" s="70"/>
      <c r="Q726" s="363"/>
    </row>
    <row r="727" spans="1:17" s="336" customFormat="1">
      <c r="A727" s="240"/>
      <c r="B727" s="319">
        <f t="shared" si="88"/>
        <v>0</v>
      </c>
      <c r="C727" s="73"/>
      <c r="D727" s="424" t="s">
        <v>1665</v>
      </c>
      <c r="E727" s="72" t="s">
        <v>535</v>
      </c>
      <c r="F727" s="350"/>
      <c r="G727" s="353"/>
      <c r="H727" s="63"/>
      <c r="I727" s="81"/>
      <c r="J727" s="391"/>
      <c r="K727" s="104"/>
      <c r="L727" s="402">
        <f t="shared" si="86"/>
        <v>0</v>
      </c>
      <c r="M727" s="453"/>
      <c r="N727" s="68"/>
      <c r="O727" s="390"/>
      <c r="P727" s="70"/>
      <c r="Q727" s="363"/>
    </row>
    <row r="728" spans="1:17" s="336" customFormat="1">
      <c r="A728" s="240"/>
      <c r="B728" s="319">
        <v>1</v>
      </c>
      <c r="C728" s="370"/>
      <c r="D728" s="371"/>
      <c r="E728" s="371"/>
      <c r="F728" s="371"/>
      <c r="G728" s="371"/>
      <c r="H728" s="372"/>
      <c r="I728" s="371"/>
      <c r="J728" s="373"/>
      <c r="K728" s="374" t="s">
        <v>198</v>
      </c>
      <c r="L728" s="375">
        <f>SUBTOTAL(9,L694:L727)</f>
        <v>0</v>
      </c>
      <c r="M728" s="392"/>
      <c r="N728" s="393"/>
      <c r="O728" s="394"/>
      <c r="P728" s="395"/>
      <c r="Q728" s="339"/>
    </row>
    <row r="729" spans="1:17" s="336" customFormat="1" ht="15">
      <c r="A729" s="240"/>
      <c r="B729" s="319">
        <v>1</v>
      </c>
      <c r="C729" s="341" t="s">
        <v>1666</v>
      </c>
      <c r="D729" s="341"/>
      <c r="E729" s="342"/>
      <c r="F729" s="342"/>
      <c r="G729" s="342"/>
      <c r="H729" s="380"/>
      <c r="I729" s="342"/>
      <c r="J729" s="381"/>
      <c r="K729" s="382"/>
      <c r="L729" s="383"/>
      <c r="M729" s="346"/>
      <c r="N729" s="347"/>
      <c r="O729" s="348"/>
      <c r="P729" s="349"/>
      <c r="Q729" s="339"/>
    </row>
    <row r="730" spans="1:17" s="336" customFormat="1" ht="101.25">
      <c r="A730" s="240"/>
      <c r="B730" s="319">
        <f t="shared" ref="B730:B753" si="89">IF(L730&gt;0,1,0)</f>
        <v>0</v>
      </c>
      <c r="C730" s="2"/>
      <c r="D730" s="398" t="s">
        <v>1667</v>
      </c>
      <c r="E730" s="362" t="s">
        <v>1668</v>
      </c>
      <c r="F730" s="366"/>
      <c r="G730" s="367"/>
      <c r="H730" s="19"/>
      <c r="I730" s="354" t="s">
        <v>1669</v>
      </c>
      <c r="J730" s="431">
        <v>33300</v>
      </c>
      <c r="K730" s="101"/>
      <c r="L730" s="432">
        <f t="shared" ref="L730:L737" si="90">IF(K730="",J730*H730,K730*H730)</f>
        <v>0</v>
      </c>
      <c r="M730" s="452"/>
      <c r="N730" s="83"/>
      <c r="O730" s="362" t="s">
        <v>1670</v>
      </c>
      <c r="P730" s="362" t="s">
        <v>1671</v>
      </c>
      <c r="Q730" s="339"/>
    </row>
    <row r="731" spans="1:17" s="336" customFormat="1" ht="29.1" customHeight="1">
      <c r="A731" s="240"/>
      <c r="B731" s="319">
        <f t="shared" si="89"/>
        <v>0</v>
      </c>
      <c r="C731" s="2"/>
      <c r="D731" s="398" t="s">
        <v>1672</v>
      </c>
      <c r="E731" s="362" t="s">
        <v>1673</v>
      </c>
      <c r="F731" s="359"/>
      <c r="G731" s="353"/>
      <c r="H731" s="18"/>
      <c r="I731" s="354" t="s">
        <v>1669</v>
      </c>
      <c r="J731" s="431">
        <v>61050</v>
      </c>
      <c r="K731" s="101"/>
      <c r="L731" s="432">
        <f t="shared" si="90"/>
        <v>0</v>
      </c>
      <c r="M731" s="453"/>
      <c r="N731" s="68"/>
      <c r="O731" s="362" t="s">
        <v>495</v>
      </c>
      <c r="P731" s="362" t="s">
        <v>495</v>
      </c>
      <c r="Q731" s="339"/>
    </row>
    <row r="732" spans="1:17" s="336" customFormat="1" ht="29.1" customHeight="1">
      <c r="A732" s="240"/>
      <c r="B732" s="319">
        <f t="shared" si="89"/>
        <v>0</v>
      </c>
      <c r="C732" s="2"/>
      <c r="D732" s="398" t="s">
        <v>1674</v>
      </c>
      <c r="E732" s="362" t="s">
        <v>1675</v>
      </c>
      <c r="F732" s="359"/>
      <c r="G732" s="353"/>
      <c r="H732" s="18"/>
      <c r="I732" s="354" t="s">
        <v>1669</v>
      </c>
      <c r="J732" s="431">
        <v>115440</v>
      </c>
      <c r="K732" s="101"/>
      <c r="L732" s="432">
        <f t="shared" si="90"/>
        <v>0</v>
      </c>
      <c r="M732" s="453"/>
      <c r="N732" s="68"/>
      <c r="O732" s="362" t="s">
        <v>495</v>
      </c>
      <c r="P732" s="362" t="s">
        <v>495</v>
      </c>
      <c r="Q732" s="339"/>
    </row>
    <row r="733" spans="1:17" s="336" customFormat="1" ht="29.1" customHeight="1">
      <c r="A733" s="240"/>
      <c r="B733" s="319">
        <f t="shared" si="89"/>
        <v>0</v>
      </c>
      <c r="C733" s="2"/>
      <c r="D733" s="398" t="s">
        <v>1676</v>
      </c>
      <c r="E733" s="362" t="s">
        <v>1677</v>
      </c>
      <c r="F733" s="359"/>
      <c r="G733" s="353"/>
      <c r="H733" s="18"/>
      <c r="I733" s="354" t="s">
        <v>1669</v>
      </c>
      <c r="J733" s="431">
        <v>142080</v>
      </c>
      <c r="K733" s="101"/>
      <c r="L733" s="432">
        <f t="shared" si="90"/>
        <v>0</v>
      </c>
      <c r="M733" s="453"/>
      <c r="N733" s="68"/>
      <c r="O733" s="362" t="s">
        <v>495</v>
      </c>
      <c r="P733" s="362" t="s">
        <v>495</v>
      </c>
      <c r="Q733" s="339"/>
    </row>
    <row r="734" spans="1:17" s="336" customFormat="1" ht="29.1" customHeight="1">
      <c r="A734" s="240"/>
      <c r="B734" s="319">
        <f t="shared" si="89"/>
        <v>0</v>
      </c>
      <c r="C734" s="2"/>
      <c r="D734" s="398" t="s">
        <v>1678</v>
      </c>
      <c r="E734" s="362" t="s">
        <v>1679</v>
      </c>
      <c r="F734" s="359"/>
      <c r="G734" s="353"/>
      <c r="H734" s="18"/>
      <c r="I734" s="354" t="s">
        <v>1669</v>
      </c>
      <c r="J734" s="431">
        <v>99450</v>
      </c>
      <c r="K734" s="101"/>
      <c r="L734" s="432">
        <f t="shared" si="90"/>
        <v>0</v>
      </c>
      <c r="M734" s="453"/>
      <c r="N734" s="68"/>
      <c r="O734" s="362" t="s">
        <v>495</v>
      </c>
      <c r="P734" s="362" t="s">
        <v>495</v>
      </c>
      <c r="Q734" s="339"/>
    </row>
    <row r="735" spans="1:17" s="336" customFormat="1" ht="29.1" customHeight="1">
      <c r="A735" s="240"/>
      <c r="B735" s="319">
        <f t="shared" si="89"/>
        <v>0</v>
      </c>
      <c r="C735" s="2"/>
      <c r="D735" s="398" t="s">
        <v>1680</v>
      </c>
      <c r="E735" s="362" t="s">
        <v>1681</v>
      </c>
      <c r="F735" s="359"/>
      <c r="G735" s="353"/>
      <c r="H735" s="18"/>
      <c r="I735" s="354" t="s">
        <v>1669</v>
      </c>
      <c r="J735" s="431">
        <v>182325</v>
      </c>
      <c r="K735" s="101"/>
      <c r="L735" s="432">
        <f t="shared" si="90"/>
        <v>0</v>
      </c>
      <c r="M735" s="453"/>
      <c r="N735" s="68"/>
      <c r="O735" s="362" t="s">
        <v>495</v>
      </c>
      <c r="P735" s="362" t="s">
        <v>495</v>
      </c>
      <c r="Q735" s="339"/>
    </row>
    <row r="736" spans="1:17" s="336" customFormat="1" ht="29.1" customHeight="1">
      <c r="A736" s="240"/>
      <c r="B736" s="319">
        <f t="shared" si="89"/>
        <v>0</v>
      </c>
      <c r="C736" s="2"/>
      <c r="D736" s="398" t="s">
        <v>1682</v>
      </c>
      <c r="E736" s="362" t="s">
        <v>1683</v>
      </c>
      <c r="F736" s="359"/>
      <c r="G736" s="353"/>
      <c r="H736" s="18"/>
      <c r="I736" s="354" t="s">
        <v>1669</v>
      </c>
      <c r="J736" s="431">
        <v>344760</v>
      </c>
      <c r="K736" s="101"/>
      <c r="L736" s="432">
        <f t="shared" si="90"/>
        <v>0</v>
      </c>
      <c r="M736" s="453"/>
      <c r="N736" s="68"/>
      <c r="O736" s="362" t="s">
        <v>495</v>
      </c>
      <c r="P736" s="362" t="s">
        <v>495</v>
      </c>
      <c r="Q736" s="339"/>
    </row>
    <row r="737" spans="1:17" s="336" customFormat="1" ht="29.1" customHeight="1">
      <c r="A737" s="240"/>
      <c r="B737" s="319">
        <f t="shared" si="89"/>
        <v>0</v>
      </c>
      <c r="C737" s="2"/>
      <c r="D737" s="398" t="s">
        <v>1684</v>
      </c>
      <c r="E737" s="362" t="s">
        <v>1685</v>
      </c>
      <c r="F737" s="359"/>
      <c r="G737" s="353"/>
      <c r="H737" s="18"/>
      <c r="I737" s="354" t="s">
        <v>1669</v>
      </c>
      <c r="J737" s="431">
        <v>424320</v>
      </c>
      <c r="K737" s="101"/>
      <c r="L737" s="432">
        <f t="shared" si="90"/>
        <v>0</v>
      </c>
      <c r="M737" s="453"/>
      <c r="N737" s="68"/>
      <c r="O737" s="362" t="s">
        <v>495</v>
      </c>
      <c r="P737" s="362" t="s">
        <v>495</v>
      </c>
      <c r="Q737" s="339"/>
    </row>
    <row r="738" spans="1:17" s="336" customFormat="1" ht="20.100000000000001" customHeight="1">
      <c r="A738" s="240"/>
      <c r="B738" s="319">
        <f t="shared" si="89"/>
        <v>0</v>
      </c>
      <c r="C738" s="2"/>
      <c r="D738" s="398" t="s">
        <v>1686</v>
      </c>
      <c r="E738" s="70" t="s">
        <v>535</v>
      </c>
      <c r="F738" s="359"/>
      <c r="G738" s="353"/>
      <c r="H738" s="19"/>
      <c r="I738" s="77"/>
      <c r="J738" s="433"/>
      <c r="K738" s="102"/>
      <c r="L738" s="432">
        <f>IF(K738="",J738*H738,K738*H738)</f>
        <v>0</v>
      </c>
      <c r="M738" s="453"/>
      <c r="N738" s="68"/>
      <c r="O738" s="390"/>
      <c r="P738" s="119" t="s">
        <v>1687</v>
      </c>
      <c r="Q738" s="363"/>
    </row>
    <row r="739" spans="1:17" s="336" customFormat="1" ht="20.100000000000001" customHeight="1">
      <c r="A739" s="240"/>
      <c r="B739" s="319">
        <f t="shared" si="89"/>
        <v>0</v>
      </c>
      <c r="C739" s="158"/>
      <c r="D739" s="398" t="s">
        <v>1688</v>
      </c>
      <c r="E739" s="70" t="s">
        <v>535</v>
      </c>
      <c r="F739" s="410"/>
      <c r="G739" s="353"/>
      <c r="H739" s="63"/>
      <c r="I739" s="81"/>
      <c r="J739" s="434"/>
      <c r="K739" s="102"/>
      <c r="L739" s="432">
        <f t="shared" ref="L739" si="91">IF(K739="",J739*H739,K739*H739)</f>
        <v>0</v>
      </c>
      <c r="M739" s="453"/>
      <c r="N739" s="68"/>
      <c r="O739" s="390"/>
      <c r="P739" s="119" t="s">
        <v>1687</v>
      </c>
      <c r="Q739" s="363"/>
    </row>
    <row r="740" spans="1:17" s="336" customFormat="1" ht="56.25">
      <c r="A740" s="240"/>
      <c r="B740" s="319">
        <f t="shared" si="89"/>
        <v>0</v>
      </c>
      <c r="C740" s="2"/>
      <c r="D740" s="398" t="s">
        <v>1689</v>
      </c>
      <c r="E740" s="435" t="s">
        <v>1690</v>
      </c>
      <c r="F740" s="436" t="s">
        <v>1691</v>
      </c>
      <c r="G740" s="417">
        <f>SUM($L$49,$L$86,$L$133,$L$148,$L$217,$L$358,$L$399,$L$409,$L$435,$L$639,$L$692,$L$728,$L$754)</f>
        <v>0</v>
      </c>
      <c r="H740" s="18"/>
      <c r="I740" s="362" t="s">
        <v>1669</v>
      </c>
      <c r="J740" s="437"/>
      <c r="K740" s="101"/>
      <c r="L740" s="438">
        <f>IF(K740="",G740,K740)*H740*10%</f>
        <v>0</v>
      </c>
      <c r="M740" s="453"/>
      <c r="N740" s="68"/>
      <c r="O740" s="362" t="s">
        <v>1692</v>
      </c>
      <c r="P740" s="362" t="s">
        <v>1693</v>
      </c>
      <c r="Q740" s="339"/>
    </row>
    <row r="741" spans="1:17" s="336" customFormat="1" ht="20.100000000000001" customHeight="1">
      <c r="A741" s="240"/>
      <c r="B741" s="319">
        <v>1</v>
      </c>
      <c r="C741" s="439" t="s">
        <v>1694</v>
      </c>
      <c r="D741" s="440"/>
      <c r="E741" s="441" t="str">
        <f>IF(SUM(L49,L86,L133,L148,L217,L358,L399,L409,L435,L639,L692,L728,L754)&lt;=1000000,"Small mobe applicable. Add 1 in Quantity above to use.","Small mobe not applicable. Select one or more of #13.01 to #13.08")</f>
        <v>Small mobe applicable. Add 1 in Quantity above to use.</v>
      </c>
      <c r="F741" s="359"/>
      <c r="G741" s="411"/>
      <c r="H741" s="411"/>
      <c r="I741" s="411"/>
      <c r="J741" s="442"/>
      <c r="K741" s="443"/>
      <c r="L741" s="442"/>
      <c r="M741" s="411"/>
      <c r="N741" s="411"/>
      <c r="O741" s="411"/>
      <c r="P741" s="411"/>
      <c r="Q741" s="339"/>
    </row>
    <row r="742" spans="1:17" s="336" customFormat="1">
      <c r="A742" s="240"/>
      <c r="B742" s="319">
        <v>1</v>
      </c>
      <c r="C742" s="370"/>
      <c r="D742" s="371"/>
      <c r="E742" s="371"/>
      <c r="F742" s="371"/>
      <c r="G742" s="371"/>
      <c r="H742" s="372"/>
      <c r="I742" s="371"/>
      <c r="J742" s="373"/>
      <c r="K742" s="374" t="s">
        <v>198</v>
      </c>
      <c r="L742" s="375">
        <f>SUBTOTAL(9,L730:L741)</f>
        <v>0</v>
      </c>
      <c r="M742" s="392"/>
      <c r="N742" s="393"/>
      <c r="O742" s="394"/>
      <c r="P742" s="395"/>
      <c r="Q742" s="339"/>
    </row>
    <row r="743" spans="1:17" s="336" customFormat="1" ht="15">
      <c r="A743" s="240"/>
      <c r="B743" s="319">
        <v>1</v>
      </c>
      <c r="C743" s="341" t="s">
        <v>1695</v>
      </c>
      <c r="D743" s="341"/>
      <c r="E743" s="342"/>
      <c r="F743" s="342"/>
      <c r="G743" s="342"/>
      <c r="H743" s="342"/>
      <c r="I743" s="342"/>
      <c r="J743" s="381"/>
      <c r="K743" s="382"/>
      <c r="L743" s="383"/>
      <c r="M743" s="346"/>
      <c r="N743" s="347"/>
      <c r="O743" s="348"/>
      <c r="P743" s="349"/>
      <c r="Q743" s="339"/>
    </row>
    <row r="744" spans="1:17" s="336" customFormat="1" ht="112.5">
      <c r="A744" s="240"/>
      <c r="B744" s="319">
        <f t="shared" si="89"/>
        <v>0</v>
      </c>
      <c r="C744" s="2" t="s">
        <v>1696</v>
      </c>
      <c r="D744" s="398" t="s">
        <v>1697</v>
      </c>
      <c r="E744" s="92" t="s">
        <v>1698</v>
      </c>
      <c r="F744" s="366"/>
      <c r="G744" s="367"/>
      <c r="H744" s="19"/>
      <c r="I744" s="77"/>
      <c r="J744" s="389"/>
      <c r="K744" s="107"/>
      <c r="L744" s="402">
        <f>H744*K744</f>
        <v>0</v>
      </c>
      <c r="M744" s="453"/>
      <c r="N744" s="68"/>
      <c r="O744" s="390"/>
      <c r="P744" s="76" t="s">
        <v>1687</v>
      </c>
      <c r="Q744" s="339"/>
    </row>
    <row r="745" spans="1:17" s="336" customFormat="1">
      <c r="A745" s="240"/>
      <c r="B745" s="319">
        <f t="shared" si="89"/>
        <v>0</v>
      </c>
      <c r="C745" s="2"/>
      <c r="D745" s="398" t="s">
        <v>1699</v>
      </c>
      <c r="E745" s="92"/>
      <c r="F745" s="359"/>
      <c r="G745" s="353"/>
      <c r="H745" s="19"/>
      <c r="I745" s="77"/>
      <c r="J745" s="406"/>
      <c r="K745" s="102"/>
      <c r="L745" s="402">
        <f t="shared" ref="L745:L753" si="92">H745*K745</f>
        <v>0</v>
      </c>
      <c r="M745" s="453"/>
      <c r="N745" s="68"/>
      <c r="O745" s="390"/>
      <c r="P745" s="74" t="s">
        <v>1687</v>
      </c>
      <c r="Q745" s="339"/>
    </row>
    <row r="746" spans="1:17" s="336" customFormat="1">
      <c r="A746" s="163"/>
      <c r="B746" s="319">
        <f t="shared" si="89"/>
        <v>0</v>
      </c>
      <c r="C746" s="2"/>
      <c r="D746" s="398" t="s">
        <v>1700</v>
      </c>
      <c r="E746" s="92" t="s">
        <v>1701</v>
      </c>
      <c r="F746" s="359"/>
      <c r="G746" s="353"/>
      <c r="H746" s="19"/>
      <c r="I746" s="77"/>
      <c r="J746" s="406"/>
      <c r="K746" s="104"/>
      <c r="L746" s="402">
        <f t="shared" si="92"/>
        <v>0</v>
      </c>
      <c r="M746" s="453"/>
      <c r="N746" s="68"/>
      <c r="O746" s="390"/>
      <c r="P746" s="74" t="s">
        <v>1687</v>
      </c>
      <c r="Q746" s="339"/>
    </row>
    <row r="747" spans="1:17" s="336" customFormat="1">
      <c r="A747" s="163"/>
      <c r="B747" s="319">
        <f t="shared" si="89"/>
        <v>0</v>
      </c>
      <c r="C747" s="2"/>
      <c r="D747" s="398" t="s">
        <v>1702</v>
      </c>
      <c r="E747" s="92" t="s">
        <v>1701</v>
      </c>
      <c r="F747" s="359"/>
      <c r="G747" s="353"/>
      <c r="H747" s="19"/>
      <c r="I747" s="77"/>
      <c r="J747" s="406"/>
      <c r="K747" s="104"/>
      <c r="L747" s="402">
        <f t="shared" si="92"/>
        <v>0</v>
      </c>
      <c r="M747" s="453"/>
      <c r="N747" s="68"/>
      <c r="O747" s="390"/>
      <c r="P747" s="74" t="s">
        <v>1687</v>
      </c>
      <c r="Q747" s="339"/>
    </row>
    <row r="748" spans="1:17" s="336" customFormat="1">
      <c r="A748" s="163"/>
      <c r="B748" s="319">
        <f t="shared" si="89"/>
        <v>0</v>
      </c>
      <c r="C748" s="2"/>
      <c r="D748" s="398" t="s">
        <v>1703</v>
      </c>
      <c r="E748" s="92" t="s">
        <v>1701</v>
      </c>
      <c r="F748" s="359"/>
      <c r="G748" s="353"/>
      <c r="H748" s="19"/>
      <c r="I748" s="77"/>
      <c r="J748" s="406"/>
      <c r="K748" s="104"/>
      <c r="L748" s="402">
        <f t="shared" si="92"/>
        <v>0</v>
      </c>
      <c r="M748" s="453"/>
      <c r="N748" s="68"/>
      <c r="O748" s="390"/>
      <c r="P748" s="74" t="s">
        <v>1687</v>
      </c>
      <c r="Q748" s="339"/>
    </row>
    <row r="749" spans="1:17" s="336" customFormat="1">
      <c r="A749" s="163"/>
      <c r="B749" s="319">
        <f t="shared" si="89"/>
        <v>0</v>
      </c>
      <c r="C749" s="2"/>
      <c r="D749" s="398" t="s">
        <v>1704</v>
      </c>
      <c r="E749" s="92" t="s">
        <v>1701</v>
      </c>
      <c r="F749" s="359"/>
      <c r="G749" s="353"/>
      <c r="H749" s="19"/>
      <c r="I749" s="77"/>
      <c r="J749" s="406"/>
      <c r="K749" s="104"/>
      <c r="L749" s="402">
        <f t="shared" si="92"/>
        <v>0</v>
      </c>
      <c r="M749" s="453"/>
      <c r="N749" s="68"/>
      <c r="O749" s="390"/>
      <c r="P749" s="74" t="s">
        <v>1687</v>
      </c>
      <c r="Q749" s="339"/>
    </row>
    <row r="750" spans="1:17" s="336" customFormat="1">
      <c r="A750" s="163"/>
      <c r="B750" s="319">
        <f t="shared" si="89"/>
        <v>0</v>
      </c>
      <c r="C750" s="2"/>
      <c r="D750" s="398" t="s">
        <v>1705</v>
      </c>
      <c r="E750" s="92" t="s">
        <v>1701</v>
      </c>
      <c r="F750" s="359"/>
      <c r="G750" s="353"/>
      <c r="H750" s="19"/>
      <c r="I750" s="77"/>
      <c r="J750" s="406"/>
      <c r="K750" s="104"/>
      <c r="L750" s="402">
        <f t="shared" si="92"/>
        <v>0</v>
      </c>
      <c r="M750" s="453"/>
      <c r="N750" s="68"/>
      <c r="O750" s="390"/>
      <c r="P750" s="74" t="s">
        <v>1687</v>
      </c>
      <c r="Q750" s="339"/>
    </row>
    <row r="751" spans="1:17" s="336" customFormat="1">
      <c r="A751" s="163"/>
      <c r="B751" s="319">
        <f t="shared" si="89"/>
        <v>0</v>
      </c>
      <c r="C751" s="2"/>
      <c r="D751" s="398" t="s">
        <v>1706</v>
      </c>
      <c r="E751" s="92" t="s">
        <v>1701</v>
      </c>
      <c r="F751" s="359"/>
      <c r="G751" s="353"/>
      <c r="H751" s="19"/>
      <c r="I751" s="77"/>
      <c r="J751" s="406"/>
      <c r="K751" s="104"/>
      <c r="L751" s="402">
        <f t="shared" si="92"/>
        <v>0</v>
      </c>
      <c r="M751" s="453"/>
      <c r="N751" s="68"/>
      <c r="O751" s="390"/>
      <c r="P751" s="74" t="s">
        <v>1687</v>
      </c>
      <c r="Q751" s="339"/>
    </row>
    <row r="752" spans="1:17" s="336" customFormat="1">
      <c r="A752" s="240"/>
      <c r="B752" s="319">
        <f t="shared" si="89"/>
        <v>0</v>
      </c>
      <c r="C752" s="2"/>
      <c r="D752" s="398" t="s">
        <v>1707</v>
      </c>
      <c r="E752" s="92" t="s">
        <v>1701</v>
      </c>
      <c r="F752" s="359"/>
      <c r="G752" s="353"/>
      <c r="H752" s="19"/>
      <c r="I752" s="77"/>
      <c r="J752" s="406"/>
      <c r="K752" s="102"/>
      <c r="L752" s="402">
        <f t="shared" si="92"/>
        <v>0</v>
      </c>
      <c r="M752" s="453"/>
      <c r="N752" s="68"/>
      <c r="O752" s="390"/>
      <c r="P752" s="74" t="s">
        <v>1687</v>
      </c>
      <c r="Q752" s="339"/>
    </row>
    <row r="753" spans="1:17" s="336" customFormat="1">
      <c r="A753" s="163"/>
      <c r="B753" s="319">
        <f t="shared" si="89"/>
        <v>0</v>
      </c>
      <c r="C753" s="73"/>
      <c r="D753" s="398" t="s">
        <v>1708</v>
      </c>
      <c r="E753" s="92" t="s">
        <v>1701</v>
      </c>
      <c r="F753" s="410"/>
      <c r="G753" s="412"/>
      <c r="H753" s="91"/>
      <c r="I753" s="78"/>
      <c r="J753" s="391"/>
      <c r="K753" s="104"/>
      <c r="L753" s="402">
        <f t="shared" si="92"/>
        <v>0</v>
      </c>
      <c r="M753" s="453"/>
      <c r="N753" s="68"/>
      <c r="O753" s="390"/>
      <c r="P753" s="75" t="s">
        <v>1687</v>
      </c>
      <c r="Q753" s="339"/>
    </row>
    <row r="754" spans="1:17" s="336" customFormat="1">
      <c r="A754" s="240"/>
      <c r="B754" s="319">
        <v>1</v>
      </c>
      <c r="C754" s="370"/>
      <c r="D754" s="371"/>
      <c r="E754" s="371"/>
      <c r="F754" s="371"/>
      <c r="G754" s="371"/>
      <c r="H754" s="371"/>
      <c r="I754" s="371"/>
      <c r="J754" s="371"/>
      <c r="K754" s="444" t="s">
        <v>198</v>
      </c>
      <c r="L754" s="445">
        <f>SUBTOTAL(9,L744:L753)</f>
        <v>0</v>
      </c>
      <c r="M754" s="392"/>
      <c r="N754" s="393"/>
      <c r="O754" s="394"/>
      <c r="P754" s="395"/>
      <c r="Q754" s="339"/>
    </row>
    <row r="755" spans="1:17">
      <c r="A755" s="446"/>
      <c r="B755" s="446"/>
      <c r="C755" s="446"/>
      <c r="D755" s="446"/>
      <c r="E755" s="446"/>
      <c r="F755" s="447"/>
      <c r="G755" s="446"/>
      <c r="H755" s="446"/>
      <c r="I755" s="446"/>
      <c r="J755" s="446"/>
      <c r="K755" s="446"/>
      <c r="L755" s="446"/>
      <c r="M755" s="446"/>
      <c r="N755" s="446"/>
      <c r="O755" s="446"/>
      <c r="P755" s="446"/>
      <c r="Q755" s="448"/>
    </row>
    <row r="756" spans="1:17">
      <c r="A756" s="446"/>
      <c r="B756" s="446"/>
      <c r="D756" s="449">
        <v>1</v>
      </c>
      <c r="E756" s="450">
        <f>D756+1</f>
        <v>2</v>
      </c>
      <c r="F756" s="449">
        <f>E756+1</f>
        <v>3</v>
      </c>
      <c r="G756" s="449">
        <f t="shared" ref="G756:P756" si="93">F756+1</f>
        <v>4</v>
      </c>
      <c r="H756" s="449">
        <f t="shared" si="93"/>
        <v>5</v>
      </c>
      <c r="I756" s="449">
        <f t="shared" si="93"/>
        <v>6</v>
      </c>
      <c r="J756" s="449">
        <f t="shared" si="93"/>
        <v>7</v>
      </c>
      <c r="K756" s="449">
        <f t="shared" si="93"/>
        <v>8</v>
      </c>
      <c r="L756" s="449">
        <f t="shared" si="93"/>
        <v>9</v>
      </c>
      <c r="M756" s="449">
        <f t="shared" si="93"/>
        <v>10</v>
      </c>
      <c r="N756" s="449">
        <f t="shared" si="93"/>
        <v>11</v>
      </c>
      <c r="O756" s="449">
        <f t="shared" si="93"/>
        <v>12</v>
      </c>
      <c r="P756" s="449">
        <f t="shared" si="93"/>
        <v>13</v>
      </c>
    </row>
  </sheetData>
  <sheetProtection algorithmName="SHA-512" hashValue="ws00EzkFyfIHd5NpJyBRXr1c6afiQstv+3EVcTDs+osY2L909aKnheD12ceVpIXFacds8T5jYFHNM0KVuANbyQ==" saltValue="9sXSRC9MvsH5EdoX1MFxFg==" spinCount="100000" sheet="1" objects="1" scenarios="1" autoFilter="0"/>
  <autoFilter ref="B1:B756" xr:uid="{B6CBE089-F1CF-436F-A8B3-E14C8F9D474A}"/>
  <dataConsolidate/>
  <phoneticPr fontId="12" type="noConversion"/>
  <conditionalFormatting sqref="E741">
    <cfRule type="cellIs" dxfId="40" priority="90" operator="lessThan">
      <formula>1000000</formula>
    </cfRule>
    <cfRule type="containsText" dxfId="39" priority="93" operator="containsText" text="not">
      <formula>NOT(ISERROR(SEARCH("not",E741)))</formula>
    </cfRule>
  </conditionalFormatting>
  <conditionalFormatting sqref="H740">
    <cfRule type="cellIs" dxfId="38" priority="86" operator="greaterThan">
      <formula>0</formula>
    </cfRule>
  </conditionalFormatting>
  <conditionalFormatting sqref="K8:K48">
    <cfRule type="cellIs" dxfId="37" priority="113" operator="greaterThan">
      <formula>0</formula>
    </cfRule>
  </conditionalFormatting>
  <conditionalFormatting sqref="K52:K85">
    <cfRule type="cellIs" dxfId="36" priority="143" operator="greaterThan">
      <formula>0</formula>
    </cfRule>
  </conditionalFormatting>
  <conditionalFormatting sqref="K243:K266">
    <cfRule type="cellIs" dxfId="35" priority="34" operator="greaterThan">
      <formula>0</formula>
    </cfRule>
  </conditionalFormatting>
  <conditionalFormatting sqref="K281:K304">
    <cfRule type="cellIs" dxfId="34" priority="31" operator="greaterThan">
      <formula>0</formula>
    </cfRule>
  </conditionalFormatting>
  <conditionalFormatting sqref="K362">
    <cfRule type="containsText" dxfId="33" priority="22" operator="containsText" text="E">
      <formula>NOT(ISERROR(SEARCH("E",K362)))</formula>
    </cfRule>
  </conditionalFormatting>
  <conditionalFormatting sqref="K363:K374">
    <cfRule type="cellIs" dxfId="32" priority="38" operator="greaterThan">
      <formula>0</formula>
    </cfRule>
  </conditionalFormatting>
  <conditionalFormatting sqref="K375">
    <cfRule type="containsText" dxfId="31" priority="21" operator="containsText" text="E">
      <formula>NOT(ISERROR(SEARCH("E",K375)))</formula>
    </cfRule>
  </conditionalFormatting>
  <conditionalFormatting sqref="K377:K384">
    <cfRule type="cellIs" dxfId="30" priority="37" operator="greaterThan">
      <formula>0</formula>
    </cfRule>
  </conditionalFormatting>
  <conditionalFormatting sqref="K386:K392">
    <cfRule type="cellIs" dxfId="29" priority="102" operator="greaterThan">
      <formula>0</formula>
    </cfRule>
  </conditionalFormatting>
  <conditionalFormatting sqref="K401:K403 K405:K408">
    <cfRule type="cellIs" dxfId="28" priority="133" operator="greaterThan">
      <formula>0</formula>
    </cfRule>
  </conditionalFormatting>
  <conditionalFormatting sqref="K411">
    <cfRule type="containsText" dxfId="27" priority="20" operator="containsText" text="E">
      <formula>NOT(ISERROR(SEARCH("E",K411)))</formula>
    </cfRule>
  </conditionalFormatting>
  <conditionalFormatting sqref="K413:K420">
    <cfRule type="cellIs" dxfId="26" priority="104" operator="greaterThan">
      <formula>0</formula>
    </cfRule>
  </conditionalFormatting>
  <conditionalFormatting sqref="K744:K753">
    <cfRule type="cellIs" dxfId="25" priority="132" operator="greaterThan">
      <formula>0</formula>
    </cfRule>
  </conditionalFormatting>
  <conditionalFormatting sqref="N7:N48">
    <cfRule type="cellIs" dxfId="24" priority="110" operator="greaterThan">
      <formula>0</formula>
    </cfRule>
  </conditionalFormatting>
  <conditionalFormatting sqref="N51:N85">
    <cfRule type="cellIs" dxfId="23" priority="109" operator="greaterThan">
      <formula>0</formula>
    </cfRule>
  </conditionalFormatting>
  <conditionalFormatting sqref="N88:N132 K89:K132 K135:K147 N135:N147 K151:K216 K220:K228 K230:K241 K268:K279 K306:K317 K395:K398 K423:K434 K439:K638 K641:K691 N641:N691 K694:K727 N694:N727 K730:K740 N730:N740">
    <cfRule type="cellIs" dxfId="22" priority="145" operator="greaterThan">
      <formula>0</formula>
    </cfRule>
  </conditionalFormatting>
  <conditionalFormatting sqref="N150:N216">
    <cfRule type="cellIs" dxfId="21" priority="25" operator="greaterThan">
      <formula>0</formula>
    </cfRule>
  </conditionalFormatting>
  <conditionalFormatting sqref="N219:N357 K319:K357">
    <cfRule type="cellIs" dxfId="20" priority="28" operator="greaterThan">
      <formula>0</formula>
    </cfRule>
  </conditionalFormatting>
  <conditionalFormatting sqref="N360:N398">
    <cfRule type="cellIs" dxfId="19" priority="4" operator="greaterThan">
      <formula>0</formula>
    </cfRule>
  </conditionalFormatting>
  <conditionalFormatting sqref="N401:N408">
    <cfRule type="cellIs" dxfId="18" priority="119" operator="greaterThan">
      <formula>0</formula>
    </cfRule>
  </conditionalFormatting>
  <conditionalFormatting sqref="N411:N434">
    <cfRule type="cellIs" dxfId="17" priority="7" operator="greaterThan">
      <formula>0</formula>
    </cfRule>
  </conditionalFormatting>
  <conditionalFormatting sqref="N437:N638">
    <cfRule type="cellIs" dxfId="16" priority="107" operator="greaterThan">
      <formula>0</formula>
    </cfRule>
  </conditionalFormatting>
  <conditionalFormatting sqref="N744:N753">
    <cfRule type="cellIs" dxfId="15" priority="118" operator="greaterThan">
      <formula>0</formula>
    </cfRule>
  </conditionalFormatting>
  <dataValidations disablePrompts="1" count="6">
    <dataValidation type="list" allowBlank="1" showInputMessage="1" showErrorMessage="1" sqref="O66254 EJ66254 OF66254 YB66254 AHX66254 ART66254 BBP66254 BLL66254 BVH66254 CFD66254 COZ66254 CYV66254 DIR66254 DSN66254 ECJ66254 EMF66254 EWB66254 FFX66254 FPT66254 FZP66254 GJL66254 GTH66254 HDD66254 HMZ66254 HWV66254 IGR66254 IQN66254 JAJ66254 JKF66254 JUB66254 KDX66254 KNT66254 KXP66254 LHL66254 LRH66254 MBD66254 MKZ66254 MUV66254 NER66254 NON66254 NYJ66254 OIF66254 OSB66254 PBX66254 PLT66254 PVP66254 QFL66254 QPH66254 QZD66254 RIZ66254 RSV66254 SCR66254 SMN66254 SWJ66254 TGF66254 TQB66254 TZX66254 UJT66254 UTP66254 VDL66254 VNH66254 VXD66254 WGZ66254 WQV66254 O131790 EJ131790 OF131790 YB131790 AHX131790 ART131790 BBP131790 BLL131790 BVH131790 CFD131790 COZ131790 CYV131790 DIR131790 DSN131790 ECJ131790 EMF131790 EWB131790 FFX131790 FPT131790 FZP131790 GJL131790 GTH131790 HDD131790 HMZ131790 HWV131790 IGR131790 IQN131790 JAJ131790 JKF131790 JUB131790 KDX131790 KNT131790 KXP131790 LHL131790 LRH131790 MBD131790 MKZ131790 MUV131790 NER131790 NON131790 NYJ131790 OIF131790 OSB131790 PBX131790 PLT131790 PVP131790 QFL131790 QPH131790 QZD131790 RIZ131790 RSV131790 SCR131790 SMN131790 SWJ131790 TGF131790 TQB131790 TZX131790 UJT131790 UTP131790 VDL131790 VNH131790 VXD131790 WGZ131790 WQV131790 O197326 EJ197326 OF197326 YB197326 AHX197326 ART197326 BBP197326 BLL197326 BVH197326 CFD197326 COZ197326 CYV197326 DIR197326 DSN197326 ECJ197326 EMF197326 EWB197326 FFX197326 FPT197326 FZP197326 GJL197326 GTH197326 HDD197326 HMZ197326 HWV197326 IGR197326 IQN197326 JAJ197326 JKF197326 JUB197326 KDX197326 KNT197326 KXP197326 LHL197326 LRH197326 MBD197326 MKZ197326 MUV197326 NER197326 NON197326 NYJ197326 OIF197326 OSB197326 PBX197326 PLT197326 PVP197326 QFL197326 QPH197326 QZD197326 RIZ197326 RSV197326 SCR197326 SMN197326 SWJ197326 TGF197326 TQB197326 TZX197326 UJT197326 UTP197326 VDL197326 VNH197326 VXD197326 WGZ197326 WQV197326 O262862 EJ262862 OF262862 YB262862 AHX262862 ART262862 BBP262862 BLL262862 BVH262862 CFD262862 COZ262862 CYV262862 DIR262862 DSN262862 ECJ262862 EMF262862 EWB262862 FFX262862 FPT262862 FZP262862 GJL262862 GTH262862 HDD262862 HMZ262862 HWV262862 IGR262862 IQN262862 JAJ262862 JKF262862 JUB262862 KDX262862 KNT262862 KXP262862 LHL262862 LRH262862 MBD262862 MKZ262862 MUV262862 NER262862 NON262862 NYJ262862 OIF262862 OSB262862 PBX262862 PLT262862 PVP262862 QFL262862 QPH262862 QZD262862 RIZ262862 RSV262862 SCR262862 SMN262862 SWJ262862 TGF262862 TQB262862 TZX262862 UJT262862 UTP262862 VDL262862 VNH262862 VXD262862 WGZ262862 WQV262862 O328398 EJ328398 OF328398 YB328398 AHX328398 ART328398 BBP328398 BLL328398 BVH328398 CFD328398 COZ328398 CYV328398 DIR328398 DSN328398 ECJ328398 EMF328398 EWB328398 FFX328398 FPT328398 FZP328398 GJL328398 GTH328398 HDD328398 HMZ328398 HWV328398 IGR328398 IQN328398 JAJ328398 JKF328398 JUB328398 KDX328398 KNT328398 KXP328398 LHL328398 LRH328398 MBD328398 MKZ328398 MUV328398 NER328398 NON328398 NYJ328398 OIF328398 OSB328398 PBX328398 PLT328398 PVP328398 QFL328398 QPH328398 QZD328398 RIZ328398 RSV328398 SCR328398 SMN328398 SWJ328398 TGF328398 TQB328398 TZX328398 UJT328398 UTP328398 VDL328398 VNH328398 VXD328398 WGZ328398 WQV328398 O393934 EJ393934 OF393934 YB393934 AHX393934 ART393934 BBP393934 BLL393934 BVH393934 CFD393934 COZ393934 CYV393934 DIR393934 DSN393934 ECJ393934 EMF393934 EWB393934 FFX393934 FPT393934 FZP393934 GJL393934 GTH393934 HDD393934 HMZ393934 HWV393934 IGR393934 IQN393934 JAJ393934 JKF393934 JUB393934 KDX393934 KNT393934 KXP393934 LHL393934 LRH393934 MBD393934 MKZ393934 MUV393934 NER393934 NON393934 NYJ393934 OIF393934 OSB393934 PBX393934 PLT393934 PVP393934 QFL393934 QPH393934 QZD393934 RIZ393934 RSV393934 SCR393934 SMN393934 SWJ393934 TGF393934 TQB393934 TZX393934 UJT393934 UTP393934 VDL393934 VNH393934 VXD393934 WGZ393934 WQV393934 O459470 EJ459470 OF459470 YB459470 AHX459470 ART459470 BBP459470 BLL459470 BVH459470 CFD459470 COZ459470 CYV459470 DIR459470 DSN459470 ECJ459470 EMF459470 EWB459470 FFX459470 FPT459470 FZP459470 GJL459470 GTH459470 HDD459470 HMZ459470 HWV459470 IGR459470 IQN459470 JAJ459470 JKF459470 JUB459470 KDX459470 KNT459470 KXP459470 LHL459470 LRH459470 MBD459470 MKZ459470 MUV459470 NER459470 NON459470 NYJ459470 OIF459470 OSB459470 PBX459470 PLT459470 PVP459470 QFL459470 QPH459470 QZD459470 RIZ459470 RSV459470 SCR459470 SMN459470 SWJ459470 TGF459470 TQB459470 TZX459470 UJT459470 UTP459470 VDL459470 VNH459470 VXD459470 WGZ459470 WQV459470 O525006 EJ525006 OF525006 YB525006 AHX525006 ART525006 BBP525006 BLL525006 BVH525006 CFD525006 COZ525006 CYV525006 DIR525006 DSN525006 ECJ525006 EMF525006 EWB525006 FFX525006 FPT525006 FZP525006 GJL525006 GTH525006 HDD525006 HMZ525006 HWV525006 IGR525006 IQN525006 JAJ525006 JKF525006 JUB525006 KDX525006 KNT525006 KXP525006 LHL525006 LRH525006 MBD525006 MKZ525006 MUV525006 NER525006 NON525006 NYJ525006 OIF525006 OSB525006 PBX525006 PLT525006 PVP525006 QFL525006 QPH525006 QZD525006 RIZ525006 RSV525006 SCR525006 SMN525006 SWJ525006 TGF525006 TQB525006 TZX525006 UJT525006 UTP525006 VDL525006 VNH525006 VXD525006 WGZ525006 WQV525006 O590542 EJ590542 OF590542 YB590542 AHX590542 ART590542 BBP590542 BLL590542 BVH590542 CFD590542 COZ590542 CYV590542 DIR590542 DSN590542 ECJ590542 EMF590542 EWB590542 FFX590542 FPT590542 FZP590542 GJL590542 GTH590542 HDD590542 HMZ590542 HWV590542 IGR590542 IQN590542 JAJ590542 JKF590542 JUB590542 KDX590542 KNT590542 KXP590542 LHL590542 LRH590542 MBD590542 MKZ590542 MUV590542 NER590542 NON590542 NYJ590542 OIF590542 OSB590542 PBX590542 PLT590542 PVP590542 QFL590542 QPH590542 QZD590542 RIZ590542 RSV590542 SCR590542 SMN590542 SWJ590542 TGF590542 TQB590542 TZX590542 UJT590542 UTP590542 VDL590542 VNH590542 VXD590542 WGZ590542 WQV590542 O656078 EJ656078 OF656078 YB656078 AHX656078 ART656078 BBP656078 BLL656078 BVH656078 CFD656078 COZ656078 CYV656078 DIR656078 DSN656078 ECJ656078 EMF656078 EWB656078 FFX656078 FPT656078 FZP656078 GJL656078 GTH656078 HDD656078 HMZ656078 HWV656078 IGR656078 IQN656078 JAJ656078 JKF656078 JUB656078 KDX656078 KNT656078 KXP656078 LHL656078 LRH656078 MBD656078 MKZ656078 MUV656078 NER656078 NON656078 NYJ656078 OIF656078 OSB656078 PBX656078 PLT656078 PVP656078 QFL656078 QPH656078 QZD656078 RIZ656078 RSV656078 SCR656078 SMN656078 SWJ656078 TGF656078 TQB656078 TZX656078 UJT656078 UTP656078 VDL656078 VNH656078 VXD656078 WGZ656078 WQV656078 O721614 EJ721614 OF721614 YB721614 AHX721614 ART721614 BBP721614 BLL721614 BVH721614 CFD721614 COZ721614 CYV721614 DIR721614 DSN721614 ECJ721614 EMF721614 EWB721614 FFX721614 FPT721614 FZP721614 GJL721614 GTH721614 HDD721614 HMZ721614 HWV721614 IGR721614 IQN721614 JAJ721614 JKF721614 JUB721614 KDX721614 KNT721614 KXP721614 LHL721614 LRH721614 MBD721614 MKZ721614 MUV721614 NER721614 NON721614 NYJ721614 OIF721614 OSB721614 PBX721614 PLT721614 PVP721614 QFL721614 QPH721614 QZD721614 RIZ721614 RSV721614 SCR721614 SMN721614 SWJ721614 TGF721614 TQB721614 TZX721614 UJT721614 UTP721614 VDL721614 VNH721614 VXD721614 WGZ721614 WQV721614 O787150 EJ787150 OF787150 YB787150 AHX787150 ART787150 BBP787150 BLL787150 BVH787150 CFD787150 COZ787150 CYV787150 DIR787150 DSN787150 ECJ787150 EMF787150 EWB787150 FFX787150 FPT787150 FZP787150 GJL787150 GTH787150 HDD787150 HMZ787150 HWV787150 IGR787150 IQN787150 JAJ787150 JKF787150 JUB787150 KDX787150 KNT787150 KXP787150 LHL787150 LRH787150 MBD787150 MKZ787150 MUV787150 NER787150 NON787150 NYJ787150 OIF787150 OSB787150 PBX787150 PLT787150 PVP787150 QFL787150 QPH787150 QZD787150 RIZ787150 RSV787150 SCR787150 SMN787150 SWJ787150 TGF787150 TQB787150 TZX787150 UJT787150 UTP787150 VDL787150 VNH787150 VXD787150 WGZ787150 WQV787150 O852686 EJ852686 OF852686 YB852686 AHX852686 ART852686 BBP852686 BLL852686 BVH852686 CFD852686 COZ852686 CYV852686 DIR852686 DSN852686 ECJ852686 EMF852686 EWB852686 FFX852686 FPT852686 FZP852686 GJL852686 GTH852686 HDD852686 HMZ852686 HWV852686 IGR852686 IQN852686 JAJ852686 JKF852686 JUB852686 KDX852686 KNT852686 KXP852686 LHL852686 LRH852686 MBD852686 MKZ852686 MUV852686 NER852686 NON852686 NYJ852686 OIF852686 OSB852686 PBX852686 PLT852686 PVP852686 QFL852686 QPH852686 QZD852686 RIZ852686 RSV852686 SCR852686 SMN852686 SWJ852686 TGF852686 TQB852686 TZX852686 UJT852686 UTP852686 VDL852686 VNH852686 VXD852686 WGZ852686 WQV852686 O918222 EJ918222 OF918222 YB918222 AHX918222 ART918222 BBP918222 BLL918222 BVH918222 CFD918222 COZ918222 CYV918222 DIR918222 DSN918222 ECJ918222 EMF918222 EWB918222 FFX918222 FPT918222 FZP918222 GJL918222 GTH918222 HDD918222 HMZ918222 HWV918222 IGR918222 IQN918222 JAJ918222 JKF918222 JUB918222 KDX918222 KNT918222 KXP918222 LHL918222 LRH918222 MBD918222 MKZ918222 MUV918222 NER918222 NON918222 NYJ918222 OIF918222 OSB918222 PBX918222 PLT918222 PVP918222 QFL918222 QPH918222 QZD918222 RIZ918222 RSV918222 SCR918222 SMN918222 SWJ918222 TGF918222 TQB918222 TZX918222 UJT918222 UTP918222 VDL918222 VNH918222 VXD918222 WGZ918222 WQV918222 O983758 EJ983758 OF983758 YB983758 AHX983758 ART983758 BBP983758 BLL983758 BVH983758 CFD983758 COZ983758 CYV983758 DIR983758 DSN983758 ECJ983758 EMF983758 EWB983758 FFX983758 FPT983758 FZP983758 GJL983758 GTH983758 HDD983758 HMZ983758 HWV983758 IGR983758 IQN983758 JAJ983758 JKF983758 JUB983758 KDX983758 KNT983758 KXP983758 LHL983758 LRH983758 MBD983758 MKZ983758 MUV983758 NER983758 NON983758 NYJ983758 OIF983758 OSB983758 PBX983758 PLT983758 PVP983758 QFL983758 QPH983758 QZD983758 RIZ983758 RSV983758 SCR983758 SMN983758 SWJ983758 TGF983758 TQB983758 TZX983758 UJT983758 UTP983758 VDL983758 VNH983758 VXD983758 WGZ983758 WQV983758 O66205 EJ66205 OF66205 YB66205 AHX66205 ART66205 BBP66205 BLL66205 BVH66205 CFD66205 COZ66205 CYV66205 DIR66205 DSN66205 ECJ66205 EMF66205 EWB66205 FFX66205 FPT66205 FZP66205 GJL66205 GTH66205 HDD66205 HMZ66205 HWV66205 IGR66205 IQN66205 JAJ66205 JKF66205 JUB66205 KDX66205 KNT66205 KXP66205 LHL66205 LRH66205 MBD66205 MKZ66205 MUV66205 NER66205 NON66205 NYJ66205 OIF66205 OSB66205 PBX66205 PLT66205 PVP66205 QFL66205 QPH66205 QZD66205 RIZ66205 RSV66205 SCR66205 SMN66205 SWJ66205 TGF66205 TQB66205 TZX66205 UJT66205 UTP66205 VDL66205 VNH66205 VXD66205 WGZ66205 WQV66205 O131741 EJ131741 OF131741 YB131741 AHX131741 ART131741 BBP131741 BLL131741 BVH131741 CFD131741 COZ131741 CYV131741 DIR131741 DSN131741 ECJ131741 EMF131741 EWB131741 FFX131741 FPT131741 FZP131741 GJL131741 GTH131741 HDD131741 HMZ131741 HWV131741 IGR131741 IQN131741 JAJ131741 JKF131741 JUB131741 KDX131741 KNT131741 KXP131741 LHL131741 LRH131741 MBD131741 MKZ131741 MUV131741 NER131741 NON131741 NYJ131741 OIF131741 OSB131741 PBX131741 PLT131741 PVP131741 QFL131741 QPH131741 QZD131741 RIZ131741 RSV131741 SCR131741 SMN131741 SWJ131741 TGF131741 TQB131741 TZX131741 UJT131741 UTP131741 VDL131741 VNH131741 VXD131741 WGZ131741 WQV131741 O197277 EJ197277 OF197277 YB197277 AHX197277 ART197277 BBP197277 BLL197277 BVH197277 CFD197277 COZ197277 CYV197277 DIR197277 DSN197277 ECJ197277 EMF197277 EWB197277 FFX197277 FPT197277 FZP197277 GJL197277 GTH197277 HDD197277 HMZ197277 HWV197277 IGR197277 IQN197277 JAJ197277 JKF197277 JUB197277 KDX197277 KNT197277 KXP197277 LHL197277 LRH197277 MBD197277 MKZ197277 MUV197277 NER197277 NON197277 NYJ197277 OIF197277 OSB197277 PBX197277 PLT197277 PVP197277 QFL197277 QPH197277 QZD197277 RIZ197277 RSV197277 SCR197277 SMN197277 SWJ197277 TGF197277 TQB197277 TZX197277 UJT197277 UTP197277 VDL197277 VNH197277 VXD197277 WGZ197277 WQV197277 O262813 EJ262813 OF262813 YB262813 AHX262813 ART262813 BBP262813 BLL262813 BVH262813 CFD262813 COZ262813 CYV262813 DIR262813 DSN262813 ECJ262813 EMF262813 EWB262813 FFX262813 FPT262813 FZP262813 GJL262813 GTH262813 HDD262813 HMZ262813 HWV262813 IGR262813 IQN262813 JAJ262813 JKF262813 JUB262813 KDX262813 KNT262813 KXP262813 LHL262813 LRH262813 MBD262813 MKZ262813 MUV262813 NER262813 NON262813 NYJ262813 OIF262813 OSB262813 PBX262813 PLT262813 PVP262813 QFL262813 QPH262813 QZD262813 RIZ262813 RSV262813 SCR262813 SMN262813 SWJ262813 TGF262813 TQB262813 TZX262813 UJT262813 UTP262813 VDL262813 VNH262813 VXD262813 WGZ262813 WQV262813 O328349 EJ328349 OF328349 YB328349 AHX328349 ART328349 BBP328349 BLL328349 BVH328349 CFD328349 COZ328349 CYV328349 DIR328349 DSN328349 ECJ328349 EMF328349 EWB328349 FFX328349 FPT328349 FZP328349 GJL328349 GTH328349 HDD328349 HMZ328349 HWV328349 IGR328349 IQN328349 JAJ328349 JKF328349 JUB328349 KDX328349 KNT328349 KXP328349 LHL328349 LRH328349 MBD328349 MKZ328349 MUV328349 NER328349 NON328349 NYJ328349 OIF328349 OSB328349 PBX328349 PLT328349 PVP328349 QFL328349 QPH328349 QZD328349 RIZ328349 RSV328349 SCR328349 SMN328349 SWJ328349 TGF328349 TQB328349 TZX328349 UJT328349 UTP328349 VDL328349 VNH328349 VXD328349 WGZ328349 WQV328349 O393885 EJ393885 OF393885 YB393885 AHX393885 ART393885 BBP393885 BLL393885 BVH393885 CFD393885 COZ393885 CYV393885 DIR393885 DSN393885 ECJ393885 EMF393885 EWB393885 FFX393885 FPT393885 FZP393885 GJL393885 GTH393885 HDD393885 HMZ393885 HWV393885 IGR393885 IQN393885 JAJ393885 JKF393885 JUB393885 KDX393885 KNT393885 KXP393885 LHL393885 LRH393885 MBD393885 MKZ393885 MUV393885 NER393885 NON393885 NYJ393885 OIF393885 OSB393885 PBX393885 PLT393885 PVP393885 QFL393885 QPH393885 QZD393885 RIZ393885 RSV393885 SCR393885 SMN393885 SWJ393885 TGF393885 TQB393885 TZX393885 UJT393885 UTP393885 VDL393885 VNH393885 VXD393885 WGZ393885 WQV393885 O459421 EJ459421 OF459421 YB459421 AHX459421 ART459421 BBP459421 BLL459421 BVH459421 CFD459421 COZ459421 CYV459421 DIR459421 DSN459421 ECJ459421 EMF459421 EWB459421 FFX459421 FPT459421 FZP459421 GJL459421 GTH459421 HDD459421 HMZ459421 HWV459421 IGR459421 IQN459421 JAJ459421 JKF459421 JUB459421 KDX459421 KNT459421 KXP459421 LHL459421 LRH459421 MBD459421 MKZ459421 MUV459421 NER459421 NON459421 NYJ459421 OIF459421 OSB459421 PBX459421 PLT459421 PVP459421 QFL459421 QPH459421 QZD459421 RIZ459421 RSV459421 SCR459421 SMN459421 SWJ459421 TGF459421 TQB459421 TZX459421 UJT459421 UTP459421 VDL459421 VNH459421 VXD459421 WGZ459421 WQV459421 O524957 EJ524957 OF524957 YB524957 AHX524957 ART524957 BBP524957 BLL524957 BVH524957 CFD524957 COZ524957 CYV524957 DIR524957 DSN524957 ECJ524957 EMF524957 EWB524957 FFX524957 FPT524957 FZP524957 GJL524957 GTH524957 HDD524957 HMZ524957 HWV524957 IGR524957 IQN524957 JAJ524957 JKF524957 JUB524957 KDX524957 KNT524957 KXP524957 LHL524957 LRH524957 MBD524957 MKZ524957 MUV524957 NER524957 NON524957 NYJ524957 OIF524957 OSB524957 PBX524957 PLT524957 PVP524957 QFL524957 QPH524957 QZD524957 RIZ524957 RSV524957 SCR524957 SMN524957 SWJ524957 TGF524957 TQB524957 TZX524957 UJT524957 UTP524957 VDL524957 VNH524957 VXD524957 WGZ524957 WQV524957 O590493 EJ590493 OF590493 YB590493 AHX590493 ART590493 BBP590493 BLL590493 BVH590493 CFD590493 COZ590493 CYV590493 DIR590493 DSN590493 ECJ590493 EMF590493 EWB590493 FFX590493 FPT590493 FZP590493 GJL590493 GTH590493 HDD590493 HMZ590493 HWV590493 IGR590493 IQN590493 JAJ590493 JKF590493 JUB590493 KDX590493 KNT590493 KXP590493 LHL590493 LRH590493 MBD590493 MKZ590493 MUV590493 NER590493 NON590493 NYJ590493 OIF590493 OSB590493 PBX590493 PLT590493 PVP590493 QFL590493 QPH590493 QZD590493 RIZ590493 RSV590493 SCR590493 SMN590493 SWJ590493 TGF590493 TQB590493 TZX590493 UJT590493 UTP590493 VDL590493 VNH590493 VXD590493 WGZ590493 WQV590493 O656029 EJ656029 OF656029 YB656029 AHX656029 ART656029 BBP656029 BLL656029 BVH656029 CFD656029 COZ656029 CYV656029 DIR656029 DSN656029 ECJ656029 EMF656029 EWB656029 FFX656029 FPT656029 FZP656029 GJL656029 GTH656029 HDD656029 HMZ656029 HWV656029 IGR656029 IQN656029 JAJ656029 JKF656029 JUB656029 KDX656029 KNT656029 KXP656029 LHL656029 LRH656029 MBD656029 MKZ656029 MUV656029 NER656029 NON656029 NYJ656029 OIF656029 OSB656029 PBX656029 PLT656029 PVP656029 QFL656029 QPH656029 QZD656029 RIZ656029 RSV656029 SCR656029 SMN656029 SWJ656029 TGF656029 TQB656029 TZX656029 UJT656029 UTP656029 VDL656029 VNH656029 VXD656029 WGZ656029 WQV656029 O721565 EJ721565 OF721565 YB721565 AHX721565 ART721565 BBP721565 BLL721565 BVH721565 CFD721565 COZ721565 CYV721565 DIR721565 DSN721565 ECJ721565 EMF721565 EWB721565 FFX721565 FPT721565 FZP721565 GJL721565 GTH721565 HDD721565 HMZ721565 HWV721565 IGR721565 IQN721565 JAJ721565 JKF721565 JUB721565 KDX721565 KNT721565 KXP721565 LHL721565 LRH721565 MBD721565 MKZ721565 MUV721565 NER721565 NON721565 NYJ721565 OIF721565 OSB721565 PBX721565 PLT721565 PVP721565 QFL721565 QPH721565 QZD721565 RIZ721565 RSV721565 SCR721565 SMN721565 SWJ721565 TGF721565 TQB721565 TZX721565 UJT721565 UTP721565 VDL721565 VNH721565 VXD721565 WGZ721565 WQV721565 O787101 EJ787101 OF787101 YB787101 AHX787101 ART787101 BBP787101 BLL787101 BVH787101 CFD787101 COZ787101 CYV787101 DIR787101 DSN787101 ECJ787101 EMF787101 EWB787101 FFX787101 FPT787101 FZP787101 GJL787101 GTH787101 HDD787101 HMZ787101 HWV787101 IGR787101 IQN787101 JAJ787101 JKF787101 JUB787101 KDX787101 KNT787101 KXP787101 LHL787101 LRH787101 MBD787101 MKZ787101 MUV787101 NER787101 NON787101 NYJ787101 OIF787101 OSB787101 PBX787101 PLT787101 PVP787101 QFL787101 QPH787101 QZD787101 RIZ787101 RSV787101 SCR787101 SMN787101 SWJ787101 TGF787101 TQB787101 TZX787101 UJT787101 UTP787101 VDL787101 VNH787101 VXD787101 WGZ787101 WQV787101 O852637 EJ852637 OF852637 YB852637 AHX852637 ART852637 BBP852637 BLL852637 BVH852637 CFD852637 COZ852637 CYV852637 DIR852637 DSN852637 ECJ852637 EMF852637 EWB852637 FFX852637 FPT852637 FZP852637 GJL852637 GTH852637 HDD852637 HMZ852637 HWV852637 IGR852637 IQN852637 JAJ852637 JKF852637 JUB852637 KDX852637 KNT852637 KXP852637 LHL852637 LRH852637 MBD852637 MKZ852637 MUV852637 NER852637 NON852637 NYJ852637 OIF852637 OSB852637 PBX852637 PLT852637 PVP852637 QFL852637 QPH852637 QZD852637 RIZ852637 RSV852637 SCR852637 SMN852637 SWJ852637 TGF852637 TQB852637 TZX852637 UJT852637 UTP852637 VDL852637 VNH852637 VXD852637 WGZ852637 WQV852637 O918173 EJ918173 OF918173 YB918173 AHX918173 ART918173 BBP918173 BLL918173 BVH918173 CFD918173 COZ918173 CYV918173 DIR918173 DSN918173 ECJ918173 EMF918173 EWB918173 FFX918173 FPT918173 FZP918173 GJL918173 GTH918173 HDD918173 HMZ918173 HWV918173 IGR918173 IQN918173 JAJ918173 JKF918173 JUB918173 KDX918173 KNT918173 KXP918173 LHL918173 LRH918173 MBD918173 MKZ918173 MUV918173 NER918173 NON918173 NYJ918173 OIF918173 OSB918173 PBX918173 PLT918173 PVP918173 QFL918173 QPH918173 QZD918173 RIZ918173 RSV918173 SCR918173 SMN918173 SWJ918173 TGF918173 TQB918173 TZX918173 UJT918173 UTP918173 VDL918173 VNH918173 VXD918173 WGZ918173 WQV918173 O983709 EJ983709 OF983709 YB983709 AHX983709 ART983709 BBP983709 BLL983709 BVH983709 CFD983709 COZ983709 CYV983709 DIR983709 DSN983709 ECJ983709 EMF983709 EWB983709 FFX983709 FPT983709 FZP983709 GJL983709 GTH983709 HDD983709 HMZ983709 HWV983709 IGR983709 IQN983709 JAJ983709 JKF983709 JUB983709 KDX983709 KNT983709 KXP983709 LHL983709 LRH983709 MBD983709 MKZ983709 MUV983709 NER983709 NON983709 NYJ983709 OIF983709 OSB983709 PBX983709 PLT983709 PVP983709 QFL983709 QPH983709 QZD983709 RIZ983709 RSV983709 SCR983709 SMN983709 SWJ983709 TGF983709 TQB983709 TZX983709 UJT983709 UTP983709 VDL983709 VNH983709 VXD983709 WGZ983709 WQV983709 O66244 EJ66244 OF66244 YB66244 AHX66244 ART66244 BBP66244 BLL66244 BVH66244 CFD66244 COZ66244 CYV66244 DIR66244 DSN66244 ECJ66244 EMF66244 EWB66244 FFX66244 FPT66244 FZP66244 GJL66244 GTH66244 HDD66244 HMZ66244 HWV66244 IGR66244 IQN66244 JAJ66244 JKF66244 JUB66244 KDX66244 KNT66244 KXP66244 LHL66244 LRH66244 MBD66244 MKZ66244 MUV66244 NER66244 NON66244 NYJ66244 OIF66244 OSB66244 PBX66244 PLT66244 PVP66244 QFL66244 QPH66244 QZD66244 RIZ66244 RSV66244 SCR66244 SMN66244 SWJ66244 TGF66244 TQB66244 TZX66244 UJT66244 UTP66244 VDL66244 VNH66244 VXD66244 WGZ66244 WQV66244 O131780 EJ131780 OF131780 YB131780 AHX131780 ART131780 BBP131780 BLL131780 BVH131780 CFD131780 COZ131780 CYV131780 DIR131780 DSN131780 ECJ131780 EMF131780 EWB131780 FFX131780 FPT131780 FZP131780 GJL131780 GTH131780 HDD131780 HMZ131780 HWV131780 IGR131780 IQN131780 JAJ131780 JKF131780 JUB131780 KDX131780 KNT131780 KXP131780 LHL131780 LRH131780 MBD131780 MKZ131780 MUV131780 NER131780 NON131780 NYJ131780 OIF131780 OSB131780 PBX131780 PLT131780 PVP131780 QFL131780 QPH131780 QZD131780 RIZ131780 RSV131780 SCR131780 SMN131780 SWJ131780 TGF131780 TQB131780 TZX131780 UJT131780 UTP131780 VDL131780 VNH131780 VXD131780 WGZ131780 WQV131780 O197316 EJ197316 OF197316 YB197316 AHX197316 ART197316 BBP197316 BLL197316 BVH197316 CFD197316 COZ197316 CYV197316 DIR197316 DSN197316 ECJ197316 EMF197316 EWB197316 FFX197316 FPT197316 FZP197316 GJL197316 GTH197316 HDD197316 HMZ197316 HWV197316 IGR197316 IQN197316 JAJ197316 JKF197316 JUB197316 KDX197316 KNT197316 KXP197316 LHL197316 LRH197316 MBD197316 MKZ197316 MUV197316 NER197316 NON197316 NYJ197316 OIF197316 OSB197316 PBX197316 PLT197316 PVP197316 QFL197316 QPH197316 QZD197316 RIZ197316 RSV197316 SCR197316 SMN197316 SWJ197316 TGF197316 TQB197316 TZX197316 UJT197316 UTP197316 VDL197316 VNH197316 VXD197316 WGZ197316 WQV197316 O262852 EJ262852 OF262852 YB262852 AHX262852 ART262852 BBP262852 BLL262852 BVH262852 CFD262852 COZ262852 CYV262852 DIR262852 DSN262852 ECJ262852 EMF262852 EWB262852 FFX262852 FPT262852 FZP262852 GJL262852 GTH262852 HDD262852 HMZ262852 HWV262852 IGR262852 IQN262852 JAJ262852 JKF262852 JUB262852 KDX262852 KNT262852 KXP262852 LHL262852 LRH262852 MBD262852 MKZ262852 MUV262852 NER262852 NON262852 NYJ262852 OIF262852 OSB262852 PBX262852 PLT262852 PVP262852 QFL262852 QPH262852 QZD262852 RIZ262852 RSV262852 SCR262852 SMN262852 SWJ262852 TGF262852 TQB262852 TZX262852 UJT262852 UTP262852 VDL262852 VNH262852 VXD262852 WGZ262852 WQV262852 O328388 EJ328388 OF328388 YB328388 AHX328388 ART328388 BBP328388 BLL328388 BVH328388 CFD328388 COZ328388 CYV328388 DIR328388 DSN328388 ECJ328388 EMF328388 EWB328388 FFX328388 FPT328388 FZP328388 GJL328388 GTH328388 HDD328388 HMZ328388 HWV328388 IGR328388 IQN328388 JAJ328388 JKF328388 JUB328388 KDX328388 KNT328388 KXP328388 LHL328388 LRH328388 MBD328388 MKZ328388 MUV328388 NER328388 NON328388 NYJ328388 OIF328388 OSB328388 PBX328388 PLT328388 PVP328388 QFL328388 QPH328388 QZD328388 RIZ328388 RSV328388 SCR328388 SMN328388 SWJ328388 TGF328388 TQB328388 TZX328388 UJT328388 UTP328388 VDL328388 VNH328388 VXD328388 WGZ328388 WQV328388 O393924 EJ393924 OF393924 YB393924 AHX393924 ART393924 BBP393924 BLL393924 BVH393924 CFD393924 COZ393924 CYV393924 DIR393924 DSN393924 ECJ393924 EMF393924 EWB393924 FFX393924 FPT393924 FZP393924 GJL393924 GTH393924 HDD393924 HMZ393924 HWV393924 IGR393924 IQN393924 JAJ393924 JKF393924 JUB393924 KDX393924 KNT393924 KXP393924 LHL393924 LRH393924 MBD393924 MKZ393924 MUV393924 NER393924 NON393924 NYJ393924 OIF393924 OSB393924 PBX393924 PLT393924 PVP393924 QFL393924 QPH393924 QZD393924 RIZ393924 RSV393924 SCR393924 SMN393924 SWJ393924 TGF393924 TQB393924 TZX393924 UJT393924 UTP393924 VDL393924 VNH393924 VXD393924 WGZ393924 WQV393924 O459460 EJ459460 OF459460 YB459460 AHX459460 ART459460 BBP459460 BLL459460 BVH459460 CFD459460 COZ459460 CYV459460 DIR459460 DSN459460 ECJ459460 EMF459460 EWB459460 FFX459460 FPT459460 FZP459460 GJL459460 GTH459460 HDD459460 HMZ459460 HWV459460 IGR459460 IQN459460 JAJ459460 JKF459460 JUB459460 KDX459460 KNT459460 KXP459460 LHL459460 LRH459460 MBD459460 MKZ459460 MUV459460 NER459460 NON459460 NYJ459460 OIF459460 OSB459460 PBX459460 PLT459460 PVP459460 QFL459460 QPH459460 QZD459460 RIZ459460 RSV459460 SCR459460 SMN459460 SWJ459460 TGF459460 TQB459460 TZX459460 UJT459460 UTP459460 VDL459460 VNH459460 VXD459460 WGZ459460 WQV459460 O524996 EJ524996 OF524996 YB524996 AHX524996 ART524996 BBP524996 BLL524996 BVH524996 CFD524996 COZ524996 CYV524996 DIR524996 DSN524996 ECJ524996 EMF524996 EWB524996 FFX524996 FPT524996 FZP524996 GJL524996 GTH524996 HDD524996 HMZ524996 HWV524996 IGR524996 IQN524996 JAJ524996 JKF524996 JUB524996 KDX524996 KNT524996 KXP524996 LHL524996 LRH524996 MBD524996 MKZ524996 MUV524996 NER524996 NON524996 NYJ524996 OIF524996 OSB524996 PBX524996 PLT524996 PVP524996 QFL524996 QPH524996 QZD524996 RIZ524996 RSV524996 SCR524996 SMN524996 SWJ524996 TGF524996 TQB524996 TZX524996 UJT524996 UTP524996 VDL524996 VNH524996 VXD524996 WGZ524996 WQV524996 O590532 EJ590532 OF590532 YB590532 AHX590532 ART590532 BBP590532 BLL590532 BVH590532 CFD590532 COZ590532 CYV590532 DIR590532 DSN590532 ECJ590532 EMF590532 EWB590532 FFX590532 FPT590532 FZP590532 GJL590532 GTH590532 HDD590532 HMZ590532 HWV590532 IGR590532 IQN590532 JAJ590532 JKF590532 JUB590532 KDX590532 KNT590532 KXP590532 LHL590532 LRH590532 MBD590532 MKZ590532 MUV590532 NER590532 NON590532 NYJ590532 OIF590532 OSB590532 PBX590532 PLT590532 PVP590532 QFL590532 QPH590532 QZD590532 RIZ590532 RSV590532 SCR590532 SMN590532 SWJ590532 TGF590532 TQB590532 TZX590532 UJT590532 UTP590532 VDL590532 VNH590532 VXD590532 WGZ590532 WQV590532 O656068 EJ656068 OF656068 YB656068 AHX656068 ART656068 BBP656068 BLL656068 BVH656068 CFD656068 COZ656068 CYV656068 DIR656068 DSN656068 ECJ656068 EMF656068 EWB656068 FFX656068 FPT656068 FZP656068 GJL656068 GTH656068 HDD656068 HMZ656068 HWV656068 IGR656068 IQN656068 JAJ656068 JKF656068 JUB656068 KDX656068 KNT656068 KXP656068 LHL656068 LRH656068 MBD656068 MKZ656068 MUV656068 NER656068 NON656068 NYJ656068 OIF656068 OSB656068 PBX656068 PLT656068 PVP656068 QFL656068 QPH656068 QZD656068 RIZ656068 RSV656068 SCR656068 SMN656068 SWJ656068 TGF656068 TQB656068 TZX656068 UJT656068 UTP656068 VDL656068 VNH656068 VXD656068 WGZ656068 WQV656068 O721604 EJ721604 OF721604 YB721604 AHX721604 ART721604 BBP721604 BLL721604 BVH721604 CFD721604 COZ721604 CYV721604 DIR721604 DSN721604 ECJ721604 EMF721604 EWB721604 FFX721604 FPT721604 FZP721604 GJL721604 GTH721604 HDD721604 HMZ721604 HWV721604 IGR721604 IQN721604 JAJ721604 JKF721604 JUB721604 KDX721604 KNT721604 KXP721604 LHL721604 LRH721604 MBD721604 MKZ721604 MUV721604 NER721604 NON721604 NYJ721604 OIF721604 OSB721604 PBX721604 PLT721604 PVP721604 QFL721604 QPH721604 QZD721604 RIZ721604 RSV721604 SCR721604 SMN721604 SWJ721604 TGF721604 TQB721604 TZX721604 UJT721604 UTP721604 VDL721604 VNH721604 VXD721604 WGZ721604 WQV721604 O787140 EJ787140 OF787140 YB787140 AHX787140 ART787140 BBP787140 BLL787140 BVH787140 CFD787140 COZ787140 CYV787140 DIR787140 DSN787140 ECJ787140 EMF787140 EWB787140 FFX787140 FPT787140 FZP787140 GJL787140 GTH787140 HDD787140 HMZ787140 HWV787140 IGR787140 IQN787140 JAJ787140 JKF787140 JUB787140 KDX787140 KNT787140 KXP787140 LHL787140 LRH787140 MBD787140 MKZ787140 MUV787140 NER787140 NON787140 NYJ787140 OIF787140 OSB787140 PBX787140 PLT787140 PVP787140 QFL787140 QPH787140 QZD787140 RIZ787140 RSV787140 SCR787140 SMN787140 SWJ787140 TGF787140 TQB787140 TZX787140 UJT787140 UTP787140 VDL787140 VNH787140 VXD787140 WGZ787140 WQV787140 O852676 EJ852676 OF852676 YB852676 AHX852676 ART852676 BBP852676 BLL852676 BVH852676 CFD852676 COZ852676 CYV852676 DIR852676 DSN852676 ECJ852676 EMF852676 EWB852676 FFX852676 FPT852676 FZP852676 GJL852676 GTH852676 HDD852676 HMZ852676 HWV852676 IGR852676 IQN852676 JAJ852676 JKF852676 JUB852676 KDX852676 KNT852676 KXP852676 LHL852676 LRH852676 MBD852676 MKZ852676 MUV852676 NER852676 NON852676 NYJ852676 OIF852676 OSB852676 PBX852676 PLT852676 PVP852676 QFL852676 QPH852676 QZD852676 RIZ852676 RSV852676 SCR852676 SMN852676 SWJ852676 TGF852676 TQB852676 TZX852676 UJT852676 UTP852676 VDL852676 VNH852676 VXD852676 WGZ852676 WQV852676 O918212 EJ918212 OF918212 YB918212 AHX918212 ART918212 BBP918212 BLL918212 BVH918212 CFD918212 COZ918212 CYV918212 DIR918212 DSN918212 ECJ918212 EMF918212 EWB918212 FFX918212 FPT918212 FZP918212 GJL918212 GTH918212 HDD918212 HMZ918212 HWV918212 IGR918212 IQN918212 JAJ918212 JKF918212 JUB918212 KDX918212 KNT918212 KXP918212 LHL918212 LRH918212 MBD918212 MKZ918212 MUV918212 NER918212 NON918212 NYJ918212 OIF918212 OSB918212 PBX918212 PLT918212 PVP918212 QFL918212 QPH918212 QZD918212 RIZ918212 RSV918212 SCR918212 SMN918212 SWJ918212 TGF918212 TQB918212 TZX918212 UJT918212 UTP918212 VDL918212 VNH918212 VXD918212 WGZ918212 WQV918212 O983748 EJ983748 OF983748 YB983748 AHX983748 ART983748 BBP983748 BLL983748 BVH983748 CFD983748 COZ983748 CYV983748 DIR983748 DSN983748 ECJ983748 EMF983748 EWB983748 FFX983748 FPT983748 FZP983748 GJL983748 GTH983748 HDD983748 HMZ983748 HWV983748 IGR983748 IQN983748 JAJ983748 JKF983748 JUB983748 KDX983748 KNT983748 KXP983748 LHL983748 LRH983748 MBD983748 MKZ983748 MUV983748 NER983748 NON983748 NYJ983748 OIF983748 OSB983748 PBX983748 PLT983748 PVP983748 QFL983748 QPH983748 QZD983748 RIZ983748 RSV983748 SCR983748 SMN983748 SWJ983748 TGF983748 TQB983748 TZX983748 UJT983748 UTP983748 VDL983748 VNH983748 VXD983748 WGZ983748 WQV983748 O66232 EJ66232 OF66232 YB66232 AHX66232 ART66232 BBP66232 BLL66232 BVH66232 CFD66232 COZ66232 CYV66232 DIR66232 DSN66232 ECJ66232 EMF66232 EWB66232 FFX66232 FPT66232 FZP66232 GJL66232 GTH66232 HDD66232 HMZ66232 HWV66232 IGR66232 IQN66232 JAJ66232 JKF66232 JUB66232 KDX66232 KNT66232 KXP66232 LHL66232 LRH66232 MBD66232 MKZ66232 MUV66232 NER66232 NON66232 NYJ66232 OIF66232 OSB66232 PBX66232 PLT66232 PVP66232 QFL66232 QPH66232 QZD66232 RIZ66232 RSV66232 SCR66232 SMN66232 SWJ66232 TGF66232 TQB66232 TZX66232 UJT66232 UTP66232 VDL66232 VNH66232 VXD66232 WGZ66232 WQV66232 O131768 EJ131768 OF131768 YB131768 AHX131768 ART131768 BBP131768 BLL131768 BVH131768 CFD131768 COZ131768 CYV131768 DIR131768 DSN131768 ECJ131768 EMF131768 EWB131768 FFX131768 FPT131768 FZP131768 GJL131768 GTH131768 HDD131768 HMZ131768 HWV131768 IGR131768 IQN131768 JAJ131768 JKF131768 JUB131768 KDX131768 KNT131768 KXP131768 LHL131768 LRH131768 MBD131768 MKZ131768 MUV131768 NER131768 NON131768 NYJ131768 OIF131768 OSB131768 PBX131768 PLT131768 PVP131768 QFL131768 QPH131768 QZD131768 RIZ131768 RSV131768 SCR131768 SMN131768 SWJ131768 TGF131768 TQB131768 TZX131768 UJT131768 UTP131768 VDL131768 VNH131768 VXD131768 WGZ131768 WQV131768 O197304 EJ197304 OF197304 YB197304 AHX197304 ART197304 BBP197304 BLL197304 BVH197304 CFD197304 COZ197304 CYV197304 DIR197304 DSN197304 ECJ197304 EMF197304 EWB197304 FFX197304 FPT197304 FZP197304 GJL197304 GTH197304 HDD197304 HMZ197304 HWV197304 IGR197304 IQN197304 JAJ197304 JKF197304 JUB197304 KDX197304 KNT197304 KXP197304 LHL197304 LRH197304 MBD197304 MKZ197304 MUV197304 NER197304 NON197304 NYJ197304 OIF197304 OSB197304 PBX197304 PLT197304 PVP197304 QFL197304 QPH197304 QZD197304 RIZ197304 RSV197304 SCR197304 SMN197304 SWJ197304 TGF197304 TQB197304 TZX197304 UJT197304 UTP197304 VDL197304 VNH197304 VXD197304 WGZ197304 WQV197304 O262840 EJ262840 OF262840 YB262840 AHX262840 ART262840 BBP262840 BLL262840 BVH262840 CFD262840 COZ262840 CYV262840 DIR262840 DSN262840 ECJ262840 EMF262840 EWB262840 FFX262840 FPT262840 FZP262840 GJL262840 GTH262840 HDD262840 HMZ262840 HWV262840 IGR262840 IQN262840 JAJ262840 JKF262840 JUB262840 KDX262840 KNT262840 KXP262840 LHL262840 LRH262840 MBD262840 MKZ262840 MUV262840 NER262840 NON262840 NYJ262840 OIF262840 OSB262840 PBX262840 PLT262840 PVP262840 QFL262840 QPH262840 QZD262840 RIZ262840 RSV262840 SCR262840 SMN262840 SWJ262840 TGF262840 TQB262840 TZX262840 UJT262840 UTP262840 VDL262840 VNH262840 VXD262840 WGZ262840 WQV262840 O328376 EJ328376 OF328376 YB328376 AHX328376 ART328376 BBP328376 BLL328376 BVH328376 CFD328376 COZ328376 CYV328376 DIR328376 DSN328376 ECJ328376 EMF328376 EWB328376 FFX328376 FPT328376 FZP328376 GJL328376 GTH328376 HDD328376 HMZ328376 HWV328376 IGR328376 IQN328376 JAJ328376 JKF328376 JUB328376 KDX328376 KNT328376 KXP328376 LHL328376 LRH328376 MBD328376 MKZ328376 MUV328376 NER328376 NON328376 NYJ328376 OIF328376 OSB328376 PBX328376 PLT328376 PVP328376 QFL328376 QPH328376 QZD328376 RIZ328376 RSV328376 SCR328376 SMN328376 SWJ328376 TGF328376 TQB328376 TZX328376 UJT328376 UTP328376 VDL328376 VNH328376 VXD328376 WGZ328376 WQV328376 O393912 EJ393912 OF393912 YB393912 AHX393912 ART393912 BBP393912 BLL393912 BVH393912 CFD393912 COZ393912 CYV393912 DIR393912 DSN393912 ECJ393912 EMF393912 EWB393912 FFX393912 FPT393912 FZP393912 GJL393912 GTH393912 HDD393912 HMZ393912 HWV393912 IGR393912 IQN393912 JAJ393912 JKF393912 JUB393912 KDX393912 KNT393912 KXP393912 LHL393912 LRH393912 MBD393912 MKZ393912 MUV393912 NER393912 NON393912 NYJ393912 OIF393912 OSB393912 PBX393912 PLT393912 PVP393912 QFL393912 QPH393912 QZD393912 RIZ393912 RSV393912 SCR393912 SMN393912 SWJ393912 TGF393912 TQB393912 TZX393912 UJT393912 UTP393912 VDL393912 VNH393912 VXD393912 WGZ393912 WQV393912 O459448 EJ459448 OF459448 YB459448 AHX459448 ART459448 BBP459448 BLL459448 BVH459448 CFD459448 COZ459448 CYV459448 DIR459448 DSN459448 ECJ459448 EMF459448 EWB459448 FFX459448 FPT459448 FZP459448 GJL459448 GTH459448 HDD459448 HMZ459448 HWV459448 IGR459448 IQN459448 JAJ459448 JKF459448 JUB459448 KDX459448 KNT459448 KXP459448 LHL459448 LRH459448 MBD459448 MKZ459448 MUV459448 NER459448 NON459448 NYJ459448 OIF459448 OSB459448 PBX459448 PLT459448 PVP459448 QFL459448 QPH459448 QZD459448 RIZ459448 RSV459448 SCR459448 SMN459448 SWJ459448 TGF459448 TQB459448 TZX459448 UJT459448 UTP459448 VDL459448 VNH459448 VXD459448 WGZ459448 WQV459448 O524984 EJ524984 OF524984 YB524984 AHX524984 ART524984 BBP524984 BLL524984 BVH524984 CFD524984 COZ524984 CYV524984 DIR524984 DSN524984 ECJ524984 EMF524984 EWB524984 FFX524984 FPT524984 FZP524984 GJL524984 GTH524984 HDD524984 HMZ524984 HWV524984 IGR524984 IQN524984 JAJ524984 JKF524984 JUB524984 KDX524984 KNT524984 KXP524984 LHL524984 LRH524984 MBD524984 MKZ524984 MUV524984 NER524984 NON524984 NYJ524984 OIF524984 OSB524984 PBX524984 PLT524984 PVP524984 QFL524984 QPH524984 QZD524984 RIZ524984 RSV524984 SCR524984 SMN524984 SWJ524984 TGF524984 TQB524984 TZX524984 UJT524984 UTP524984 VDL524984 VNH524984 VXD524984 WGZ524984 WQV524984 O590520 EJ590520 OF590520 YB590520 AHX590520 ART590520 BBP590520 BLL590520 BVH590520 CFD590520 COZ590520 CYV590520 DIR590520 DSN590520 ECJ590520 EMF590520 EWB590520 FFX590520 FPT590520 FZP590520 GJL590520 GTH590520 HDD590520 HMZ590520 HWV590520 IGR590520 IQN590520 JAJ590520 JKF590520 JUB590520 KDX590520 KNT590520 KXP590520 LHL590520 LRH590520 MBD590520 MKZ590520 MUV590520 NER590520 NON590520 NYJ590520 OIF590520 OSB590520 PBX590520 PLT590520 PVP590520 QFL590520 QPH590520 QZD590520 RIZ590520 RSV590520 SCR590520 SMN590520 SWJ590520 TGF590520 TQB590520 TZX590520 UJT590520 UTP590520 VDL590520 VNH590520 VXD590520 WGZ590520 WQV590520 O656056 EJ656056 OF656056 YB656056 AHX656056 ART656056 BBP656056 BLL656056 BVH656056 CFD656056 COZ656056 CYV656056 DIR656056 DSN656056 ECJ656056 EMF656056 EWB656056 FFX656056 FPT656056 FZP656056 GJL656056 GTH656056 HDD656056 HMZ656056 HWV656056 IGR656056 IQN656056 JAJ656056 JKF656056 JUB656056 KDX656056 KNT656056 KXP656056 LHL656056 LRH656056 MBD656056 MKZ656056 MUV656056 NER656056 NON656056 NYJ656056 OIF656056 OSB656056 PBX656056 PLT656056 PVP656056 QFL656056 QPH656056 QZD656056 RIZ656056 RSV656056 SCR656056 SMN656056 SWJ656056 TGF656056 TQB656056 TZX656056 UJT656056 UTP656056 VDL656056 VNH656056 VXD656056 WGZ656056 WQV656056 O721592 EJ721592 OF721592 YB721592 AHX721592 ART721592 BBP721592 BLL721592 BVH721592 CFD721592 COZ721592 CYV721592 DIR721592 DSN721592 ECJ721592 EMF721592 EWB721592 FFX721592 FPT721592 FZP721592 GJL721592 GTH721592 HDD721592 HMZ721592 HWV721592 IGR721592 IQN721592 JAJ721592 JKF721592 JUB721592 KDX721592 KNT721592 KXP721592 LHL721592 LRH721592 MBD721592 MKZ721592 MUV721592 NER721592 NON721592 NYJ721592 OIF721592 OSB721592 PBX721592 PLT721592 PVP721592 QFL721592 QPH721592 QZD721592 RIZ721592 RSV721592 SCR721592 SMN721592 SWJ721592 TGF721592 TQB721592 TZX721592 UJT721592 UTP721592 VDL721592 VNH721592 VXD721592 WGZ721592 WQV721592 O787128 EJ787128 OF787128 YB787128 AHX787128 ART787128 BBP787128 BLL787128 BVH787128 CFD787128 COZ787128 CYV787128 DIR787128 DSN787128 ECJ787128 EMF787128 EWB787128 FFX787128 FPT787128 FZP787128 GJL787128 GTH787128 HDD787128 HMZ787128 HWV787128 IGR787128 IQN787128 JAJ787128 JKF787128 JUB787128 KDX787128 KNT787128 KXP787128 LHL787128 LRH787128 MBD787128 MKZ787128 MUV787128 NER787128 NON787128 NYJ787128 OIF787128 OSB787128 PBX787128 PLT787128 PVP787128 QFL787128 QPH787128 QZD787128 RIZ787128 RSV787128 SCR787128 SMN787128 SWJ787128 TGF787128 TQB787128 TZX787128 UJT787128 UTP787128 VDL787128 VNH787128 VXD787128 WGZ787128 WQV787128 O852664 EJ852664 OF852664 YB852664 AHX852664 ART852664 BBP852664 BLL852664 BVH852664 CFD852664 COZ852664 CYV852664 DIR852664 DSN852664 ECJ852664 EMF852664 EWB852664 FFX852664 FPT852664 FZP852664 GJL852664 GTH852664 HDD852664 HMZ852664 HWV852664 IGR852664 IQN852664 JAJ852664 JKF852664 JUB852664 KDX852664 KNT852664 KXP852664 LHL852664 LRH852664 MBD852664 MKZ852664 MUV852664 NER852664 NON852664 NYJ852664 OIF852664 OSB852664 PBX852664 PLT852664 PVP852664 QFL852664 QPH852664 QZD852664 RIZ852664 RSV852664 SCR852664 SMN852664 SWJ852664 TGF852664 TQB852664 TZX852664 UJT852664 UTP852664 VDL852664 VNH852664 VXD852664 WGZ852664 WQV852664 O918200 EJ918200 OF918200 YB918200 AHX918200 ART918200 BBP918200 BLL918200 BVH918200 CFD918200 COZ918200 CYV918200 DIR918200 DSN918200 ECJ918200 EMF918200 EWB918200 FFX918200 FPT918200 FZP918200 GJL918200 GTH918200 HDD918200 HMZ918200 HWV918200 IGR918200 IQN918200 JAJ918200 JKF918200 JUB918200 KDX918200 KNT918200 KXP918200 LHL918200 LRH918200 MBD918200 MKZ918200 MUV918200 NER918200 NON918200 NYJ918200 OIF918200 OSB918200 PBX918200 PLT918200 PVP918200 QFL918200 QPH918200 QZD918200 RIZ918200 RSV918200 SCR918200 SMN918200 SWJ918200 TGF918200 TQB918200 TZX918200 UJT918200 UTP918200 VDL918200 VNH918200 VXD918200 WGZ918200 WQV918200 O983736 EJ983736 OF983736 YB983736 AHX983736 ART983736 BBP983736 BLL983736 BVH983736 CFD983736 COZ983736 CYV983736 DIR983736 DSN983736 ECJ983736 EMF983736 EWB983736 FFX983736 FPT983736 FZP983736 GJL983736 GTH983736 HDD983736 HMZ983736 HWV983736 IGR983736 IQN983736 JAJ983736 JKF983736 JUB983736 KDX983736 KNT983736 KXP983736 LHL983736 LRH983736 MBD983736 MKZ983736 MUV983736 NER983736 NON983736 NYJ983736 OIF983736 OSB983736 PBX983736 PLT983736 PVP983736 QFL983736 QPH983736 QZD983736 RIZ983736 RSV983736 SCR983736 SMN983736 SWJ983736 TGF983736 TQB983736 TZX983736 UJT983736 UTP983736 VDL983736 VNH983736 VXD983736 WGZ983736 WQV983736 O66263 EJ66263 OF66263 YB66263 AHX66263 ART66263 BBP66263 BLL66263 BVH66263 CFD66263 COZ66263 CYV66263 DIR66263 DSN66263 ECJ66263 EMF66263 EWB66263 FFX66263 FPT66263 FZP66263 GJL66263 GTH66263 HDD66263 HMZ66263 HWV66263 IGR66263 IQN66263 JAJ66263 JKF66263 JUB66263 KDX66263 KNT66263 KXP66263 LHL66263 LRH66263 MBD66263 MKZ66263 MUV66263 NER66263 NON66263 NYJ66263 OIF66263 OSB66263 PBX66263 PLT66263 PVP66263 QFL66263 QPH66263 QZD66263 RIZ66263 RSV66263 SCR66263 SMN66263 SWJ66263 TGF66263 TQB66263 TZX66263 UJT66263 UTP66263 VDL66263 VNH66263 VXD66263 WGZ66263 WQV66263 O131799 EJ131799 OF131799 YB131799 AHX131799 ART131799 BBP131799 BLL131799 BVH131799 CFD131799 COZ131799 CYV131799 DIR131799 DSN131799 ECJ131799 EMF131799 EWB131799 FFX131799 FPT131799 FZP131799 GJL131799 GTH131799 HDD131799 HMZ131799 HWV131799 IGR131799 IQN131799 JAJ131799 JKF131799 JUB131799 KDX131799 KNT131799 KXP131799 LHL131799 LRH131799 MBD131799 MKZ131799 MUV131799 NER131799 NON131799 NYJ131799 OIF131799 OSB131799 PBX131799 PLT131799 PVP131799 QFL131799 QPH131799 QZD131799 RIZ131799 RSV131799 SCR131799 SMN131799 SWJ131799 TGF131799 TQB131799 TZX131799 UJT131799 UTP131799 VDL131799 VNH131799 VXD131799 WGZ131799 WQV131799 O197335 EJ197335 OF197335 YB197335 AHX197335 ART197335 BBP197335 BLL197335 BVH197335 CFD197335 COZ197335 CYV197335 DIR197335 DSN197335 ECJ197335 EMF197335 EWB197335 FFX197335 FPT197335 FZP197335 GJL197335 GTH197335 HDD197335 HMZ197335 HWV197335 IGR197335 IQN197335 JAJ197335 JKF197335 JUB197335 KDX197335 KNT197335 KXP197335 LHL197335 LRH197335 MBD197335 MKZ197335 MUV197335 NER197335 NON197335 NYJ197335 OIF197335 OSB197335 PBX197335 PLT197335 PVP197335 QFL197335 QPH197335 QZD197335 RIZ197335 RSV197335 SCR197335 SMN197335 SWJ197335 TGF197335 TQB197335 TZX197335 UJT197335 UTP197335 VDL197335 VNH197335 VXD197335 WGZ197335 WQV197335 O262871 EJ262871 OF262871 YB262871 AHX262871 ART262871 BBP262871 BLL262871 BVH262871 CFD262871 COZ262871 CYV262871 DIR262871 DSN262871 ECJ262871 EMF262871 EWB262871 FFX262871 FPT262871 FZP262871 GJL262871 GTH262871 HDD262871 HMZ262871 HWV262871 IGR262871 IQN262871 JAJ262871 JKF262871 JUB262871 KDX262871 KNT262871 KXP262871 LHL262871 LRH262871 MBD262871 MKZ262871 MUV262871 NER262871 NON262871 NYJ262871 OIF262871 OSB262871 PBX262871 PLT262871 PVP262871 QFL262871 QPH262871 QZD262871 RIZ262871 RSV262871 SCR262871 SMN262871 SWJ262871 TGF262871 TQB262871 TZX262871 UJT262871 UTP262871 VDL262871 VNH262871 VXD262871 WGZ262871 WQV262871 O328407 EJ328407 OF328407 YB328407 AHX328407 ART328407 BBP328407 BLL328407 BVH328407 CFD328407 COZ328407 CYV328407 DIR328407 DSN328407 ECJ328407 EMF328407 EWB328407 FFX328407 FPT328407 FZP328407 GJL328407 GTH328407 HDD328407 HMZ328407 HWV328407 IGR328407 IQN328407 JAJ328407 JKF328407 JUB328407 KDX328407 KNT328407 KXP328407 LHL328407 LRH328407 MBD328407 MKZ328407 MUV328407 NER328407 NON328407 NYJ328407 OIF328407 OSB328407 PBX328407 PLT328407 PVP328407 QFL328407 QPH328407 QZD328407 RIZ328407 RSV328407 SCR328407 SMN328407 SWJ328407 TGF328407 TQB328407 TZX328407 UJT328407 UTP328407 VDL328407 VNH328407 VXD328407 WGZ328407 WQV328407 O393943 EJ393943 OF393943 YB393943 AHX393943 ART393943 BBP393943 BLL393943 BVH393943 CFD393943 COZ393943 CYV393943 DIR393943 DSN393943 ECJ393943 EMF393943 EWB393943 FFX393943 FPT393943 FZP393943 GJL393943 GTH393943 HDD393943 HMZ393943 HWV393943 IGR393943 IQN393943 JAJ393943 JKF393943 JUB393943 KDX393943 KNT393943 KXP393943 LHL393943 LRH393943 MBD393943 MKZ393943 MUV393943 NER393943 NON393943 NYJ393943 OIF393943 OSB393943 PBX393943 PLT393943 PVP393943 QFL393943 QPH393943 QZD393943 RIZ393943 RSV393943 SCR393943 SMN393943 SWJ393943 TGF393943 TQB393943 TZX393943 UJT393943 UTP393943 VDL393943 VNH393943 VXD393943 WGZ393943 WQV393943 O459479 EJ459479 OF459479 YB459479 AHX459479 ART459479 BBP459479 BLL459479 BVH459479 CFD459479 COZ459479 CYV459479 DIR459479 DSN459479 ECJ459479 EMF459479 EWB459479 FFX459479 FPT459479 FZP459479 GJL459479 GTH459479 HDD459479 HMZ459479 HWV459479 IGR459479 IQN459479 JAJ459479 JKF459479 JUB459479 KDX459479 KNT459479 KXP459479 LHL459479 LRH459479 MBD459479 MKZ459479 MUV459479 NER459479 NON459479 NYJ459479 OIF459479 OSB459479 PBX459479 PLT459479 PVP459479 QFL459479 QPH459479 QZD459479 RIZ459479 RSV459479 SCR459479 SMN459479 SWJ459479 TGF459479 TQB459479 TZX459479 UJT459479 UTP459479 VDL459479 VNH459479 VXD459479 WGZ459479 WQV459479 O525015 EJ525015 OF525015 YB525015 AHX525015 ART525015 BBP525015 BLL525015 BVH525015 CFD525015 COZ525015 CYV525015 DIR525015 DSN525015 ECJ525015 EMF525015 EWB525015 FFX525015 FPT525015 FZP525015 GJL525015 GTH525015 HDD525015 HMZ525015 HWV525015 IGR525015 IQN525015 JAJ525015 JKF525015 JUB525015 KDX525015 KNT525015 KXP525015 LHL525015 LRH525015 MBD525015 MKZ525015 MUV525015 NER525015 NON525015 NYJ525015 OIF525015 OSB525015 PBX525015 PLT525015 PVP525015 QFL525015 QPH525015 QZD525015 RIZ525015 RSV525015 SCR525015 SMN525015 SWJ525015 TGF525015 TQB525015 TZX525015 UJT525015 UTP525015 VDL525015 VNH525015 VXD525015 WGZ525015 WQV525015 O590551 EJ590551 OF590551 YB590551 AHX590551 ART590551 BBP590551 BLL590551 BVH590551 CFD590551 COZ590551 CYV590551 DIR590551 DSN590551 ECJ590551 EMF590551 EWB590551 FFX590551 FPT590551 FZP590551 GJL590551 GTH590551 HDD590551 HMZ590551 HWV590551 IGR590551 IQN590551 JAJ590551 JKF590551 JUB590551 KDX590551 KNT590551 KXP590551 LHL590551 LRH590551 MBD590551 MKZ590551 MUV590551 NER590551 NON590551 NYJ590551 OIF590551 OSB590551 PBX590551 PLT590551 PVP590551 QFL590551 QPH590551 QZD590551 RIZ590551 RSV590551 SCR590551 SMN590551 SWJ590551 TGF590551 TQB590551 TZX590551 UJT590551 UTP590551 VDL590551 VNH590551 VXD590551 WGZ590551 WQV590551 O656087 EJ656087 OF656087 YB656087 AHX656087 ART656087 BBP656087 BLL656087 BVH656087 CFD656087 COZ656087 CYV656087 DIR656087 DSN656087 ECJ656087 EMF656087 EWB656087 FFX656087 FPT656087 FZP656087 GJL656087 GTH656087 HDD656087 HMZ656087 HWV656087 IGR656087 IQN656087 JAJ656087 JKF656087 JUB656087 KDX656087 KNT656087 KXP656087 LHL656087 LRH656087 MBD656087 MKZ656087 MUV656087 NER656087 NON656087 NYJ656087 OIF656087 OSB656087 PBX656087 PLT656087 PVP656087 QFL656087 QPH656087 QZD656087 RIZ656087 RSV656087 SCR656087 SMN656087 SWJ656087 TGF656087 TQB656087 TZX656087 UJT656087 UTP656087 VDL656087 VNH656087 VXD656087 WGZ656087 WQV656087 O721623 EJ721623 OF721623 YB721623 AHX721623 ART721623 BBP721623 BLL721623 BVH721623 CFD721623 COZ721623 CYV721623 DIR721623 DSN721623 ECJ721623 EMF721623 EWB721623 FFX721623 FPT721623 FZP721623 GJL721623 GTH721623 HDD721623 HMZ721623 HWV721623 IGR721623 IQN721623 JAJ721623 JKF721623 JUB721623 KDX721623 KNT721623 KXP721623 LHL721623 LRH721623 MBD721623 MKZ721623 MUV721623 NER721623 NON721623 NYJ721623 OIF721623 OSB721623 PBX721623 PLT721623 PVP721623 QFL721623 QPH721623 QZD721623 RIZ721623 RSV721623 SCR721623 SMN721623 SWJ721623 TGF721623 TQB721623 TZX721623 UJT721623 UTP721623 VDL721623 VNH721623 VXD721623 WGZ721623 WQV721623 O787159 EJ787159 OF787159 YB787159 AHX787159 ART787159 BBP787159 BLL787159 BVH787159 CFD787159 COZ787159 CYV787159 DIR787159 DSN787159 ECJ787159 EMF787159 EWB787159 FFX787159 FPT787159 FZP787159 GJL787159 GTH787159 HDD787159 HMZ787159 HWV787159 IGR787159 IQN787159 JAJ787159 JKF787159 JUB787159 KDX787159 KNT787159 KXP787159 LHL787159 LRH787159 MBD787159 MKZ787159 MUV787159 NER787159 NON787159 NYJ787159 OIF787159 OSB787159 PBX787159 PLT787159 PVP787159 QFL787159 QPH787159 QZD787159 RIZ787159 RSV787159 SCR787159 SMN787159 SWJ787159 TGF787159 TQB787159 TZX787159 UJT787159 UTP787159 VDL787159 VNH787159 VXD787159 WGZ787159 WQV787159 O852695 EJ852695 OF852695 YB852695 AHX852695 ART852695 BBP852695 BLL852695 BVH852695 CFD852695 COZ852695 CYV852695 DIR852695 DSN852695 ECJ852695 EMF852695 EWB852695 FFX852695 FPT852695 FZP852695 GJL852695 GTH852695 HDD852695 HMZ852695 HWV852695 IGR852695 IQN852695 JAJ852695 JKF852695 JUB852695 KDX852695 KNT852695 KXP852695 LHL852695 LRH852695 MBD852695 MKZ852695 MUV852695 NER852695 NON852695 NYJ852695 OIF852695 OSB852695 PBX852695 PLT852695 PVP852695 QFL852695 QPH852695 QZD852695 RIZ852695 RSV852695 SCR852695 SMN852695 SWJ852695 TGF852695 TQB852695 TZX852695 UJT852695 UTP852695 VDL852695 VNH852695 VXD852695 WGZ852695 WQV852695 O918231 EJ918231 OF918231 YB918231 AHX918231 ART918231 BBP918231 BLL918231 BVH918231 CFD918231 COZ918231 CYV918231 DIR918231 DSN918231 ECJ918231 EMF918231 EWB918231 FFX918231 FPT918231 FZP918231 GJL918231 GTH918231 HDD918231 HMZ918231 HWV918231 IGR918231 IQN918231 JAJ918231 JKF918231 JUB918231 KDX918231 KNT918231 KXP918231 LHL918231 LRH918231 MBD918231 MKZ918231 MUV918231 NER918231 NON918231 NYJ918231 OIF918231 OSB918231 PBX918231 PLT918231 PVP918231 QFL918231 QPH918231 QZD918231 RIZ918231 RSV918231 SCR918231 SMN918231 SWJ918231 TGF918231 TQB918231 TZX918231 UJT918231 UTP918231 VDL918231 VNH918231 VXD918231 WGZ918231 WQV918231 O983767 EJ983767 OF983767 YB983767 AHX983767 ART983767 BBP983767 BLL983767 BVH983767 CFD983767 COZ983767 CYV983767 DIR983767 DSN983767 ECJ983767 EMF983767 EWB983767 FFX983767 FPT983767 FZP983767 GJL983767 GTH983767 HDD983767 HMZ983767 HWV983767 IGR983767 IQN983767 JAJ983767 JKF983767 JUB983767 KDX983767 KNT983767 KXP983767 LHL983767 LRH983767 MBD983767 MKZ983767 MUV983767 NER983767 NON983767 NYJ983767 OIF983767 OSB983767 PBX983767 PLT983767 PVP983767 QFL983767 QPH983767 QZD983767 RIZ983767 RSV983767 SCR983767 SMN983767 SWJ983767 TGF983767 TQB983767 TZX983767 UJT983767 UTP983767 VDL983767 VNH983767 VXD983767 WGZ983767 WQV983767 O66201 EJ66201 OF66201 YB66201 AHX66201 ART66201 BBP66201 BLL66201 BVH66201 CFD66201 COZ66201 CYV66201 DIR66201 DSN66201 ECJ66201 EMF66201 EWB66201 FFX66201 FPT66201 FZP66201 GJL66201 GTH66201 HDD66201 HMZ66201 HWV66201 IGR66201 IQN66201 JAJ66201 JKF66201 JUB66201 KDX66201 KNT66201 KXP66201 LHL66201 LRH66201 MBD66201 MKZ66201 MUV66201 NER66201 NON66201 NYJ66201 OIF66201 OSB66201 PBX66201 PLT66201 PVP66201 QFL66201 QPH66201 QZD66201 RIZ66201 RSV66201 SCR66201 SMN66201 SWJ66201 TGF66201 TQB66201 TZX66201 UJT66201 UTP66201 VDL66201 VNH66201 VXD66201 WGZ66201 WQV66201 O131737 EJ131737 OF131737 YB131737 AHX131737 ART131737 BBP131737 BLL131737 BVH131737 CFD131737 COZ131737 CYV131737 DIR131737 DSN131737 ECJ131737 EMF131737 EWB131737 FFX131737 FPT131737 FZP131737 GJL131737 GTH131737 HDD131737 HMZ131737 HWV131737 IGR131737 IQN131737 JAJ131737 JKF131737 JUB131737 KDX131737 KNT131737 KXP131737 LHL131737 LRH131737 MBD131737 MKZ131737 MUV131737 NER131737 NON131737 NYJ131737 OIF131737 OSB131737 PBX131737 PLT131737 PVP131737 QFL131737 QPH131737 QZD131737 RIZ131737 RSV131737 SCR131737 SMN131737 SWJ131737 TGF131737 TQB131737 TZX131737 UJT131737 UTP131737 VDL131737 VNH131737 VXD131737 WGZ131737 WQV131737 O197273 EJ197273 OF197273 YB197273 AHX197273 ART197273 BBP197273 BLL197273 BVH197273 CFD197273 COZ197273 CYV197273 DIR197273 DSN197273 ECJ197273 EMF197273 EWB197273 FFX197273 FPT197273 FZP197273 GJL197273 GTH197273 HDD197273 HMZ197273 HWV197273 IGR197273 IQN197273 JAJ197273 JKF197273 JUB197273 KDX197273 KNT197273 KXP197273 LHL197273 LRH197273 MBD197273 MKZ197273 MUV197273 NER197273 NON197273 NYJ197273 OIF197273 OSB197273 PBX197273 PLT197273 PVP197273 QFL197273 QPH197273 QZD197273 RIZ197273 RSV197273 SCR197273 SMN197273 SWJ197273 TGF197273 TQB197273 TZX197273 UJT197273 UTP197273 VDL197273 VNH197273 VXD197273 WGZ197273 WQV197273 O262809 EJ262809 OF262809 YB262809 AHX262809 ART262809 BBP262809 BLL262809 BVH262809 CFD262809 COZ262809 CYV262809 DIR262809 DSN262809 ECJ262809 EMF262809 EWB262809 FFX262809 FPT262809 FZP262809 GJL262809 GTH262809 HDD262809 HMZ262809 HWV262809 IGR262809 IQN262809 JAJ262809 JKF262809 JUB262809 KDX262809 KNT262809 KXP262809 LHL262809 LRH262809 MBD262809 MKZ262809 MUV262809 NER262809 NON262809 NYJ262809 OIF262809 OSB262809 PBX262809 PLT262809 PVP262809 QFL262809 QPH262809 QZD262809 RIZ262809 RSV262809 SCR262809 SMN262809 SWJ262809 TGF262809 TQB262809 TZX262809 UJT262809 UTP262809 VDL262809 VNH262809 VXD262809 WGZ262809 WQV262809 O328345 EJ328345 OF328345 YB328345 AHX328345 ART328345 BBP328345 BLL328345 BVH328345 CFD328345 COZ328345 CYV328345 DIR328345 DSN328345 ECJ328345 EMF328345 EWB328345 FFX328345 FPT328345 FZP328345 GJL328345 GTH328345 HDD328345 HMZ328345 HWV328345 IGR328345 IQN328345 JAJ328345 JKF328345 JUB328345 KDX328345 KNT328345 KXP328345 LHL328345 LRH328345 MBD328345 MKZ328345 MUV328345 NER328345 NON328345 NYJ328345 OIF328345 OSB328345 PBX328345 PLT328345 PVP328345 QFL328345 QPH328345 QZD328345 RIZ328345 RSV328345 SCR328345 SMN328345 SWJ328345 TGF328345 TQB328345 TZX328345 UJT328345 UTP328345 VDL328345 VNH328345 VXD328345 WGZ328345 WQV328345 O393881 EJ393881 OF393881 YB393881 AHX393881 ART393881 BBP393881 BLL393881 BVH393881 CFD393881 COZ393881 CYV393881 DIR393881 DSN393881 ECJ393881 EMF393881 EWB393881 FFX393881 FPT393881 FZP393881 GJL393881 GTH393881 HDD393881 HMZ393881 HWV393881 IGR393881 IQN393881 JAJ393881 JKF393881 JUB393881 KDX393881 KNT393881 KXP393881 LHL393881 LRH393881 MBD393881 MKZ393881 MUV393881 NER393881 NON393881 NYJ393881 OIF393881 OSB393881 PBX393881 PLT393881 PVP393881 QFL393881 QPH393881 QZD393881 RIZ393881 RSV393881 SCR393881 SMN393881 SWJ393881 TGF393881 TQB393881 TZX393881 UJT393881 UTP393881 VDL393881 VNH393881 VXD393881 WGZ393881 WQV393881 O459417 EJ459417 OF459417 YB459417 AHX459417 ART459417 BBP459417 BLL459417 BVH459417 CFD459417 COZ459417 CYV459417 DIR459417 DSN459417 ECJ459417 EMF459417 EWB459417 FFX459417 FPT459417 FZP459417 GJL459417 GTH459417 HDD459417 HMZ459417 HWV459417 IGR459417 IQN459417 JAJ459417 JKF459417 JUB459417 KDX459417 KNT459417 KXP459417 LHL459417 LRH459417 MBD459417 MKZ459417 MUV459417 NER459417 NON459417 NYJ459417 OIF459417 OSB459417 PBX459417 PLT459417 PVP459417 QFL459417 QPH459417 QZD459417 RIZ459417 RSV459417 SCR459417 SMN459417 SWJ459417 TGF459417 TQB459417 TZX459417 UJT459417 UTP459417 VDL459417 VNH459417 VXD459417 WGZ459417 WQV459417 O524953 EJ524953 OF524953 YB524953 AHX524953 ART524953 BBP524953 BLL524953 BVH524953 CFD524953 COZ524953 CYV524953 DIR524953 DSN524953 ECJ524953 EMF524953 EWB524953 FFX524953 FPT524953 FZP524953 GJL524953 GTH524953 HDD524953 HMZ524953 HWV524953 IGR524953 IQN524953 JAJ524953 JKF524953 JUB524953 KDX524953 KNT524953 KXP524953 LHL524953 LRH524953 MBD524953 MKZ524953 MUV524953 NER524953 NON524953 NYJ524953 OIF524953 OSB524953 PBX524953 PLT524953 PVP524953 QFL524953 QPH524953 QZD524953 RIZ524953 RSV524953 SCR524953 SMN524953 SWJ524953 TGF524953 TQB524953 TZX524953 UJT524953 UTP524953 VDL524953 VNH524953 VXD524953 WGZ524953 WQV524953 O590489 EJ590489 OF590489 YB590489 AHX590489 ART590489 BBP590489 BLL590489 BVH590489 CFD590489 COZ590489 CYV590489 DIR590489 DSN590489 ECJ590489 EMF590489 EWB590489 FFX590489 FPT590489 FZP590489 GJL590489 GTH590489 HDD590489 HMZ590489 HWV590489 IGR590489 IQN590489 JAJ590489 JKF590489 JUB590489 KDX590489 KNT590489 KXP590489 LHL590489 LRH590489 MBD590489 MKZ590489 MUV590489 NER590489 NON590489 NYJ590489 OIF590489 OSB590489 PBX590489 PLT590489 PVP590489 QFL590489 QPH590489 QZD590489 RIZ590489 RSV590489 SCR590489 SMN590489 SWJ590489 TGF590489 TQB590489 TZX590489 UJT590489 UTP590489 VDL590489 VNH590489 VXD590489 WGZ590489 WQV590489 O656025 EJ656025 OF656025 YB656025 AHX656025 ART656025 BBP656025 BLL656025 BVH656025 CFD656025 COZ656025 CYV656025 DIR656025 DSN656025 ECJ656025 EMF656025 EWB656025 FFX656025 FPT656025 FZP656025 GJL656025 GTH656025 HDD656025 HMZ656025 HWV656025 IGR656025 IQN656025 JAJ656025 JKF656025 JUB656025 KDX656025 KNT656025 KXP656025 LHL656025 LRH656025 MBD656025 MKZ656025 MUV656025 NER656025 NON656025 NYJ656025 OIF656025 OSB656025 PBX656025 PLT656025 PVP656025 QFL656025 QPH656025 QZD656025 RIZ656025 RSV656025 SCR656025 SMN656025 SWJ656025 TGF656025 TQB656025 TZX656025 UJT656025 UTP656025 VDL656025 VNH656025 VXD656025 WGZ656025 WQV656025 O721561 EJ721561 OF721561 YB721561 AHX721561 ART721561 BBP721561 BLL721561 BVH721561 CFD721561 COZ721561 CYV721561 DIR721561 DSN721561 ECJ721561 EMF721561 EWB721561 FFX721561 FPT721561 FZP721561 GJL721561 GTH721561 HDD721561 HMZ721561 HWV721561 IGR721561 IQN721561 JAJ721561 JKF721561 JUB721561 KDX721561 KNT721561 KXP721561 LHL721561 LRH721561 MBD721561 MKZ721561 MUV721561 NER721561 NON721561 NYJ721561 OIF721561 OSB721561 PBX721561 PLT721561 PVP721561 QFL721561 QPH721561 QZD721561 RIZ721561 RSV721561 SCR721561 SMN721561 SWJ721561 TGF721561 TQB721561 TZX721561 UJT721561 UTP721561 VDL721561 VNH721561 VXD721561 WGZ721561 WQV721561 O787097 EJ787097 OF787097 YB787097 AHX787097 ART787097 BBP787097 BLL787097 BVH787097 CFD787097 COZ787097 CYV787097 DIR787097 DSN787097 ECJ787097 EMF787097 EWB787097 FFX787097 FPT787097 FZP787097 GJL787097 GTH787097 HDD787097 HMZ787097 HWV787097 IGR787097 IQN787097 JAJ787097 JKF787097 JUB787097 KDX787097 KNT787097 KXP787097 LHL787097 LRH787097 MBD787097 MKZ787097 MUV787097 NER787097 NON787097 NYJ787097 OIF787097 OSB787097 PBX787097 PLT787097 PVP787097 QFL787097 QPH787097 QZD787097 RIZ787097 RSV787097 SCR787097 SMN787097 SWJ787097 TGF787097 TQB787097 TZX787097 UJT787097 UTP787097 VDL787097 VNH787097 VXD787097 WGZ787097 WQV787097 O852633 EJ852633 OF852633 YB852633 AHX852633 ART852633 BBP852633 BLL852633 BVH852633 CFD852633 COZ852633 CYV852633 DIR852633 DSN852633 ECJ852633 EMF852633 EWB852633 FFX852633 FPT852633 FZP852633 GJL852633 GTH852633 HDD852633 HMZ852633 HWV852633 IGR852633 IQN852633 JAJ852633 JKF852633 JUB852633 KDX852633 KNT852633 KXP852633 LHL852633 LRH852633 MBD852633 MKZ852633 MUV852633 NER852633 NON852633 NYJ852633 OIF852633 OSB852633 PBX852633 PLT852633 PVP852633 QFL852633 QPH852633 QZD852633 RIZ852633 RSV852633 SCR852633 SMN852633 SWJ852633 TGF852633 TQB852633 TZX852633 UJT852633 UTP852633 VDL852633 VNH852633 VXD852633 WGZ852633 WQV852633 O918169 EJ918169 OF918169 YB918169 AHX918169 ART918169 BBP918169 BLL918169 BVH918169 CFD918169 COZ918169 CYV918169 DIR918169 DSN918169 ECJ918169 EMF918169 EWB918169 FFX918169 FPT918169 FZP918169 GJL918169 GTH918169 HDD918169 HMZ918169 HWV918169 IGR918169 IQN918169 JAJ918169 JKF918169 JUB918169 KDX918169 KNT918169 KXP918169 LHL918169 LRH918169 MBD918169 MKZ918169 MUV918169 NER918169 NON918169 NYJ918169 OIF918169 OSB918169 PBX918169 PLT918169 PVP918169 QFL918169 QPH918169 QZD918169 RIZ918169 RSV918169 SCR918169 SMN918169 SWJ918169 TGF918169 TQB918169 TZX918169 UJT918169 UTP918169 VDL918169 VNH918169 VXD918169 WGZ918169 WQV918169 O983705 EJ983705 OF983705 YB983705 AHX983705 ART983705 BBP983705 BLL983705 BVH983705 CFD983705 COZ983705 CYV983705 DIR983705 DSN983705 ECJ983705 EMF983705 EWB983705 FFX983705 FPT983705 FZP983705 GJL983705 GTH983705 HDD983705 HMZ983705 HWV983705 IGR983705 IQN983705 JAJ983705 JKF983705 JUB983705 KDX983705 KNT983705 KXP983705 LHL983705 LRH983705 MBD983705 MKZ983705 MUV983705 NER983705 NON983705 NYJ983705 OIF983705 OSB983705 PBX983705 PLT983705 PVP983705 QFL983705 QPH983705 QZD983705 RIZ983705 RSV983705 SCR983705 SMN983705 SWJ983705 TGF983705 TQB983705 TZX983705 UJT983705 UTP983705 VDL983705 VNH983705 VXD983705 WGZ983705 WQV983705 EJ199 OF199 YB199 AHX199 ART199 BBP199 BLL199 BVH199 CFD199 COZ199 CYV199 DIR199 DSN199 ECJ199 EMF199 EWB199 FFX199 FPT199 FZP199 GJL199 GTH199 HDD199 HMZ199 HWV199 IGR199 IQN199 JAJ199 JKF199 JUB199 KDX199 KNT199 KXP199 LHL199 LRH199 MBD199 MKZ199 MUV199 NER199 NON199 NYJ199 OIF199 OSB199 PBX199 PLT199 PVP199 QFL199 QPH199 QZD199 RIZ199 RSV199 SCR199 SMN199 SWJ199 TGF199 TQB199 TZX199 UJT199 UTP199 VDL199 VNH199 VXD199 WGZ199 WQV199 WQV187 WGZ187 VXD187 VNH187 VDL187 UTP187 UJT187 TZX187 TQB187 TGF187 SWJ187 SMN187 SCR187 RSV187 RIZ187 QZD187 QPH187 QFL187 PVP187 PLT187 PBX187 OSB187 OIF187 NYJ187 NON187 NER187 MUV187 MKZ187 MBD187 LRH187 LHL187 KXP187 KNT187 KDX187 JUB187 JKF187 JAJ187 IQN187 IGR187 HWV187 HMZ187 HDD187 GTH187 GJL187 FZP187 FPT187 FFX187 EWB187 EMF187 ECJ187 DSN187 DIR187 CYV187 COZ187 CFD187 BVH187 BLL187 BBP187 ART187 AHX187 YB187 OF187 EJ187 EJ193:EJ196 OF193:OF196 YB193:YB196 AHX193:AHX196 ART193:ART196 BBP193:BBP196 BLL193:BLL196 BVH193:BVH196 CFD193:CFD196 COZ193:COZ196 CYV193:CYV196 DIR193:DIR196 DSN193:DSN196 ECJ193:ECJ196 EMF193:EMF196 EWB193:EWB196 FFX193:FFX196 FPT193:FPT196 FZP193:FZP196 GJL193:GJL196 GTH193:GTH196 HDD193:HDD196 HMZ193:HMZ196 HWV193:HWV196 IGR193:IGR196 IQN193:IQN196 JAJ193:JAJ196 JKF193:JKF196 JUB193:JUB196 KDX193:KDX196 KNT193:KNT196 KXP193:KXP196 LHL193:LHL196 LRH193:LRH196 MBD193:MBD196 MKZ193:MKZ196 MUV193:MUV196 NER193:NER196 NON193:NON196 NYJ193:NYJ196 OIF193:OIF196 OSB193:OSB196 PBX193:PBX196 PLT193:PLT196 PVP193:PVP196 QFL193:QFL196 QPH193:QPH196 QZD193:QZD196 RIZ193:RIZ196 RSV193:RSV196 SCR193:SCR196 SMN193:SMN196 SWJ193:SWJ196 TGF193:TGF196 TQB193:TQB196 TZX193:TZX196 UJT193:UJT196 UTP193:UTP196 VDL193:VDL196 VNH193:VNH196 VXD193:VXD196 WGZ193:WGZ196 WQV193:WQV196 WQV165:WQV184 WGZ165:WGZ184 VXD165:VXD184 VNH165:VNH184 VDL165:VDL184 UTP165:UTP184 UJT165:UJT184 TZX165:TZX184 TQB165:TQB184 TGF165:TGF184 SWJ165:SWJ184 SMN165:SMN184 SCR165:SCR184 RSV165:RSV184 RIZ165:RIZ184 QZD165:QZD184 QPH165:QPH184 QFL165:QFL184 PVP165:PVP184 PLT165:PLT184 PBX165:PBX184 OSB165:OSB184 OIF165:OIF184 NYJ165:NYJ184 NON165:NON184 NER165:NER184 MUV165:MUV184 MKZ165:MKZ184 MBD165:MBD184 LRH165:LRH184 LHL165:LHL184 KXP165:KXP184 KNT165:KNT184 KDX165:KDX184 JUB165:JUB184 JKF165:JKF184 JAJ165:JAJ184 IQN165:IQN184 IGR165:IGR184 HWV165:HWV184 HMZ165:HMZ184 HDD165:HDD184 GTH165:GTH184 GJL165:GJL184 FZP165:FZP184 FPT165:FPT184 FFX165:FFX184 EWB165:EWB184 EMF165:EMF184 ECJ165:ECJ184 DSN165:DSN184 DIR165:DIR184 CYV165:CYV184 COZ165:COZ184 CFD165:CFD184 BVH165:BVH184 BLL165:BLL184 BBP165:BBP184 ART165:ART184 AHX165:AHX184 YB165:YB184 OF165:OF184 EJ165:EJ184" xr:uid="{C78F0524-EC0F-4EF5-9B03-33E94E4CFB8D}">
      <formula1>Select_Haul_Distance</formula1>
    </dataValidation>
    <dataValidation type="list" allowBlank="1" showInputMessage="1" showErrorMessage="1" sqref="O66275 EJ66275 OF66275 YB66275 AHX66275 ART66275 BBP66275 BLL66275 BVH66275 CFD66275 COZ66275 CYV66275 DIR66275 DSN66275 ECJ66275 EMF66275 EWB66275 FFX66275 FPT66275 FZP66275 GJL66275 GTH66275 HDD66275 HMZ66275 HWV66275 IGR66275 IQN66275 JAJ66275 JKF66275 JUB66275 KDX66275 KNT66275 KXP66275 LHL66275 LRH66275 MBD66275 MKZ66275 MUV66275 NER66275 NON66275 NYJ66275 OIF66275 OSB66275 PBX66275 PLT66275 PVP66275 QFL66275 QPH66275 QZD66275 RIZ66275 RSV66275 SCR66275 SMN66275 SWJ66275 TGF66275 TQB66275 TZX66275 UJT66275 UTP66275 VDL66275 VNH66275 VXD66275 WGZ66275 WQV66275 O131811 EJ131811 OF131811 YB131811 AHX131811 ART131811 BBP131811 BLL131811 BVH131811 CFD131811 COZ131811 CYV131811 DIR131811 DSN131811 ECJ131811 EMF131811 EWB131811 FFX131811 FPT131811 FZP131811 GJL131811 GTH131811 HDD131811 HMZ131811 HWV131811 IGR131811 IQN131811 JAJ131811 JKF131811 JUB131811 KDX131811 KNT131811 KXP131811 LHL131811 LRH131811 MBD131811 MKZ131811 MUV131811 NER131811 NON131811 NYJ131811 OIF131811 OSB131811 PBX131811 PLT131811 PVP131811 QFL131811 QPH131811 QZD131811 RIZ131811 RSV131811 SCR131811 SMN131811 SWJ131811 TGF131811 TQB131811 TZX131811 UJT131811 UTP131811 VDL131811 VNH131811 VXD131811 WGZ131811 WQV131811 O197347 EJ197347 OF197347 YB197347 AHX197347 ART197347 BBP197347 BLL197347 BVH197347 CFD197347 COZ197347 CYV197347 DIR197347 DSN197347 ECJ197347 EMF197347 EWB197347 FFX197347 FPT197347 FZP197347 GJL197347 GTH197347 HDD197347 HMZ197347 HWV197347 IGR197347 IQN197347 JAJ197347 JKF197347 JUB197347 KDX197347 KNT197347 KXP197347 LHL197347 LRH197347 MBD197347 MKZ197347 MUV197347 NER197347 NON197347 NYJ197347 OIF197347 OSB197347 PBX197347 PLT197347 PVP197347 QFL197347 QPH197347 QZD197347 RIZ197347 RSV197347 SCR197347 SMN197347 SWJ197347 TGF197347 TQB197347 TZX197347 UJT197347 UTP197347 VDL197347 VNH197347 VXD197347 WGZ197347 WQV197347 O262883 EJ262883 OF262883 YB262883 AHX262883 ART262883 BBP262883 BLL262883 BVH262883 CFD262883 COZ262883 CYV262883 DIR262883 DSN262883 ECJ262883 EMF262883 EWB262883 FFX262883 FPT262883 FZP262883 GJL262883 GTH262883 HDD262883 HMZ262883 HWV262883 IGR262883 IQN262883 JAJ262883 JKF262883 JUB262883 KDX262883 KNT262883 KXP262883 LHL262883 LRH262883 MBD262883 MKZ262883 MUV262883 NER262883 NON262883 NYJ262883 OIF262883 OSB262883 PBX262883 PLT262883 PVP262883 QFL262883 QPH262883 QZD262883 RIZ262883 RSV262883 SCR262883 SMN262883 SWJ262883 TGF262883 TQB262883 TZX262883 UJT262883 UTP262883 VDL262883 VNH262883 VXD262883 WGZ262883 WQV262883 O328419 EJ328419 OF328419 YB328419 AHX328419 ART328419 BBP328419 BLL328419 BVH328419 CFD328419 COZ328419 CYV328419 DIR328419 DSN328419 ECJ328419 EMF328419 EWB328419 FFX328419 FPT328419 FZP328419 GJL328419 GTH328419 HDD328419 HMZ328419 HWV328419 IGR328419 IQN328419 JAJ328419 JKF328419 JUB328419 KDX328419 KNT328419 KXP328419 LHL328419 LRH328419 MBD328419 MKZ328419 MUV328419 NER328419 NON328419 NYJ328419 OIF328419 OSB328419 PBX328419 PLT328419 PVP328419 QFL328419 QPH328419 QZD328419 RIZ328419 RSV328419 SCR328419 SMN328419 SWJ328419 TGF328419 TQB328419 TZX328419 UJT328419 UTP328419 VDL328419 VNH328419 VXD328419 WGZ328419 WQV328419 O393955 EJ393955 OF393955 YB393955 AHX393955 ART393955 BBP393955 BLL393955 BVH393955 CFD393955 COZ393955 CYV393955 DIR393955 DSN393955 ECJ393955 EMF393955 EWB393955 FFX393955 FPT393955 FZP393955 GJL393955 GTH393955 HDD393955 HMZ393955 HWV393955 IGR393955 IQN393955 JAJ393955 JKF393955 JUB393955 KDX393955 KNT393955 KXP393955 LHL393955 LRH393955 MBD393955 MKZ393955 MUV393955 NER393955 NON393955 NYJ393955 OIF393955 OSB393955 PBX393955 PLT393955 PVP393955 QFL393955 QPH393955 QZD393955 RIZ393955 RSV393955 SCR393955 SMN393955 SWJ393955 TGF393955 TQB393955 TZX393955 UJT393955 UTP393955 VDL393955 VNH393955 VXD393955 WGZ393955 WQV393955 O459491 EJ459491 OF459491 YB459491 AHX459491 ART459491 BBP459491 BLL459491 BVH459491 CFD459491 COZ459491 CYV459491 DIR459491 DSN459491 ECJ459491 EMF459491 EWB459491 FFX459491 FPT459491 FZP459491 GJL459491 GTH459491 HDD459491 HMZ459491 HWV459491 IGR459491 IQN459491 JAJ459491 JKF459491 JUB459491 KDX459491 KNT459491 KXP459491 LHL459491 LRH459491 MBD459491 MKZ459491 MUV459491 NER459491 NON459491 NYJ459491 OIF459491 OSB459491 PBX459491 PLT459491 PVP459491 QFL459491 QPH459491 QZD459491 RIZ459491 RSV459491 SCR459491 SMN459491 SWJ459491 TGF459491 TQB459491 TZX459491 UJT459491 UTP459491 VDL459491 VNH459491 VXD459491 WGZ459491 WQV459491 O525027 EJ525027 OF525027 YB525027 AHX525027 ART525027 BBP525027 BLL525027 BVH525027 CFD525027 COZ525027 CYV525027 DIR525027 DSN525027 ECJ525027 EMF525027 EWB525027 FFX525027 FPT525027 FZP525027 GJL525027 GTH525027 HDD525027 HMZ525027 HWV525027 IGR525027 IQN525027 JAJ525027 JKF525027 JUB525027 KDX525027 KNT525027 KXP525027 LHL525027 LRH525027 MBD525027 MKZ525027 MUV525027 NER525027 NON525027 NYJ525027 OIF525027 OSB525027 PBX525027 PLT525027 PVP525027 QFL525027 QPH525027 QZD525027 RIZ525027 RSV525027 SCR525027 SMN525027 SWJ525027 TGF525027 TQB525027 TZX525027 UJT525027 UTP525027 VDL525027 VNH525027 VXD525027 WGZ525027 WQV525027 O590563 EJ590563 OF590563 YB590563 AHX590563 ART590563 BBP590563 BLL590563 BVH590563 CFD590563 COZ590563 CYV590563 DIR590563 DSN590563 ECJ590563 EMF590563 EWB590563 FFX590563 FPT590563 FZP590563 GJL590563 GTH590563 HDD590563 HMZ590563 HWV590563 IGR590563 IQN590563 JAJ590563 JKF590563 JUB590563 KDX590563 KNT590563 KXP590563 LHL590563 LRH590563 MBD590563 MKZ590563 MUV590563 NER590563 NON590563 NYJ590563 OIF590563 OSB590563 PBX590563 PLT590563 PVP590563 QFL590563 QPH590563 QZD590563 RIZ590563 RSV590563 SCR590563 SMN590563 SWJ590563 TGF590563 TQB590563 TZX590563 UJT590563 UTP590563 VDL590563 VNH590563 VXD590563 WGZ590563 WQV590563 O656099 EJ656099 OF656099 YB656099 AHX656099 ART656099 BBP656099 BLL656099 BVH656099 CFD656099 COZ656099 CYV656099 DIR656099 DSN656099 ECJ656099 EMF656099 EWB656099 FFX656099 FPT656099 FZP656099 GJL656099 GTH656099 HDD656099 HMZ656099 HWV656099 IGR656099 IQN656099 JAJ656099 JKF656099 JUB656099 KDX656099 KNT656099 KXP656099 LHL656099 LRH656099 MBD656099 MKZ656099 MUV656099 NER656099 NON656099 NYJ656099 OIF656099 OSB656099 PBX656099 PLT656099 PVP656099 QFL656099 QPH656099 QZD656099 RIZ656099 RSV656099 SCR656099 SMN656099 SWJ656099 TGF656099 TQB656099 TZX656099 UJT656099 UTP656099 VDL656099 VNH656099 VXD656099 WGZ656099 WQV656099 O721635 EJ721635 OF721635 YB721635 AHX721635 ART721635 BBP721635 BLL721635 BVH721635 CFD721635 COZ721635 CYV721635 DIR721635 DSN721635 ECJ721635 EMF721635 EWB721635 FFX721635 FPT721635 FZP721635 GJL721635 GTH721635 HDD721635 HMZ721635 HWV721635 IGR721635 IQN721635 JAJ721635 JKF721635 JUB721635 KDX721635 KNT721635 KXP721635 LHL721635 LRH721635 MBD721635 MKZ721635 MUV721635 NER721635 NON721635 NYJ721635 OIF721635 OSB721635 PBX721635 PLT721635 PVP721635 QFL721635 QPH721635 QZD721635 RIZ721635 RSV721635 SCR721635 SMN721635 SWJ721635 TGF721635 TQB721635 TZX721635 UJT721635 UTP721635 VDL721635 VNH721635 VXD721635 WGZ721635 WQV721635 O787171 EJ787171 OF787171 YB787171 AHX787171 ART787171 BBP787171 BLL787171 BVH787171 CFD787171 COZ787171 CYV787171 DIR787171 DSN787171 ECJ787171 EMF787171 EWB787171 FFX787171 FPT787171 FZP787171 GJL787171 GTH787171 HDD787171 HMZ787171 HWV787171 IGR787171 IQN787171 JAJ787171 JKF787171 JUB787171 KDX787171 KNT787171 KXP787171 LHL787171 LRH787171 MBD787171 MKZ787171 MUV787171 NER787171 NON787171 NYJ787171 OIF787171 OSB787171 PBX787171 PLT787171 PVP787171 QFL787171 QPH787171 QZD787171 RIZ787171 RSV787171 SCR787171 SMN787171 SWJ787171 TGF787171 TQB787171 TZX787171 UJT787171 UTP787171 VDL787171 VNH787171 VXD787171 WGZ787171 WQV787171 O852707 EJ852707 OF852707 YB852707 AHX852707 ART852707 BBP852707 BLL852707 BVH852707 CFD852707 COZ852707 CYV852707 DIR852707 DSN852707 ECJ852707 EMF852707 EWB852707 FFX852707 FPT852707 FZP852707 GJL852707 GTH852707 HDD852707 HMZ852707 HWV852707 IGR852707 IQN852707 JAJ852707 JKF852707 JUB852707 KDX852707 KNT852707 KXP852707 LHL852707 LRH852707 MBD852707 MKZ852707 MUV852707 NER852707 NON852707 NYJ852707 OIF852707 OSB852707 PBX852707 PLT852707 PVP852707 QFL852707 QPH852707 QZD852707 RIZ852707 RSV852707 SCR852707 SMN852707 SWJ852707 TGF852707 TQB852707 TZX852707 UJT852707 UTP852707 VDL852707 VNH852707 VXD852707 WGZ852707 WQV852707 O918243 EJ918243 OF918243 YB918243 AHX918243 ART918243 BBP918243 BLL918243 BVH918243 CFD918243 COZ918243 CYV918243 DIR918243 DSN918243 ECJ918243 EMF918243 EWB918243 FFX918243 FPT918243 FZP918243 GJL918243 GTH918243 HDD918243 HMZ918243 HWV918243 IGR918243 IQN918243 JAJ918243 JKF918243 JUB918243 KDX918243 KNT918243 KXP918243 LHL918243 LRH918243 MBD918243 MKZ918243 MUV918243 NER918243 NON918243 NYJ918243 OIF918243 OSB918243 PBX918243 PLT918243 PVP918243 QFL918243 QPH918243 QZD918243 RIZ918243 RSV918243 SCR918243 SMN918243 SWJ918243 TGF918243 TQB918243 TZX918243 UJT918243 UTP918243 VDL918243 VNH918243 VXD918243 WGZ918243 WQV918243 O983779 EJ983779 OF983779 YB983779 AHX983779 ART983779 BBP983779 BLL983779 BVH983779 CFD983779 COZ983779 CYV983779 DIR983779 DSN983779 ECJ983779 EMF983779 EWB983779 FFX983779 FPT983779 FZP983779 GJL983779 GTH983779 HDD983779 HMZ983779 HWV983779 IGR983779 IQN983779 JAJ983779 JKF983779 JUB983779 KDX983779 KNT983779 KXP983779 LHL983779 LRH983779 MBD983779 MKZ983779 MUV983779 NER983779 NON983779 NYJ983779 OIF983779 OSB983779 PBX983779 PLT983779 PVP983779 QFL983779 QPH983779 QZD983779 RIZ983779 RSV983779 SCR983779 SMN983779 SWJ983779 TGF983779 TQB983779 TZX983779 UJT983779 UTP983779 VDL983779 VNH983779 VXD983779 WGZ983779 WQV983779" xr:uid="{AEDCE4A7-16B8-4305-BD8E-FF12AFEB1D7C}">
      <formula1>Select_Distance_to_Site</formula1>
    </dataValidation>
    <dataValidation allowBlank="1" showInputMessage="1" showErrorMessage="1" prompt="TOV = Table of Values and refers to the rates in the TOV sheet" sqref="D4" xr:uid="{FD93B1F7-EC2F-49B6-8314-DAA996509FB4}"/>
    <dataValidation type="whole" allowBlank="1" showInputMessage="1" showErrorMessage="1" sqref="H93:H122 H138:H141" xr:uid="{C278B7EB-80CD-49A9-BA0C-096DE54F1A48}">
      <formula1>0</formula1>
      <formula2>1000</formula2>
    </dataValidation>
    <dataValidation type="whole" allowBlank="1" showInputMessage="1" showErrorMessage="1" sqref="H151:H214" xr:uid="{C9CE56B3-E827-4647-96DF-444B48CA21C5}">
      <formula1>0</formula1>
      <formula2>50000</formula2>
    </dataValidation>
    <dataValidation type="whole" operator="greaterThan" allowBlank="1" showInputMessage="1" showErrorMessage="1" sqref="H362:H373 H377:H383 H386:H392 H395:H396 H401:H403 H411 H413:H420 H423:H425 H439:H555" xr:uid="{AC14A483-98A3-464C-AC17-2677061D5C52}">
      <formula1>0</formula1>
    </dataValidation>
  </dataValidations>
  <hyperlinks>
    <hyperlink ref="C2" location="CONTENTS" display="Contents" xr:uid="{04BA4BD1-319B-4067-95FD-BBA2F0DA26DE}"/>
  </hyperlinks>
  <printOptions horizontalCentered="1"/>
  <pageMargins left="0.59055118110236227" right="0.59055118110236227" top="0.59055118110236227" bottom="0.59055118110236227" header="0.39370078740157483" footer="0.39370078740157483"/>
  <pageSetup paperSize="8" scale="56" fitToHeight="0" orientation="landscape" r:id="rId1"/>
  <headerFooter alignWithMargins="0"/>
  <rowBreaks count="1" manualBreakCount="1">
    <brk id="165" min="1" max="12" man="1"/>
  </rowBreak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8F6DB38-EA8E-4757-8C82-19A1C8AB6065}">
          <x14:formula1>
            <xm:f>Y_N</xm:f>
          </x14:formula1>
          <xm:sqref>NZ744:NZ753 XV744:XV753 AHR744:AHR753 ARN744:ARN753 BBJ744:BBJ753 BLF744:BLF753 BVB744:BVB753 CEX744:CEX753 COT744:COT753 CYP744:CYP753 DIL744:DIL753 DSH744:DSH753 ECD744:ECD753 ELZ744:ELZ753 EVV744:EVV753 FFR744:FFR753 FPN744:FPN753 FZJ744:FZJ753 GJF744:GJF753 GTB744:GTB753 HCX744:HCX753 HMT744:HMT753 HWP744:HWP753 IGL744:IGL753 IQH744:IQH753 JAD744:JAD753 JJZ744:JJZ753 JTV744:JTV753 KDR744:KDR753 KNN744:KNN753 KXJ744:KXJ753 LHF744:LHF753 LRB744:LRB753 MAX744:MAX753 MKT744:MKT753 MUP744:MUP753 NEL744:NEL753 NOH744:NOH753 NYD744:NYD753 OHZ744:OHZ753 ORV744:ORV753 PBR744:PBR753 PLN744:PLN753 PVJ744:PVJ753 QFF744:QFF753 QPB744:QPB753 QYX744:QYX753 RIT744:RIT753 RSP744:RSP753 SCL744:SCL753 SMH744:SMH753 SWD744:SWD753 TFZ744:TFZ753 TPV744:TPV753 TZR744:TZR753 UJN744:UJN753 UTJ744:UTJ753 VDF744:VDF753 VNB744:VNB753 VWX744:VWX753 WGT744:WGT753 WQP744:WQP753 ED66279:ED66288 NZ66279:NZ66288 XV66279:XV66288 AHR66279:AHR66288 ARN66279:ARN66288 BBJ66279:BBJ66288 BLF66279:BLF66288 BVB66279:BVB66288 CEX66279:CEX66288 COT66279:COT66288 CYP66279:CYP66288 DIL66279:DIL66288 DSH66279:DSH66288 ECD66279:ECD66288 ELZ66279:ELZ66288 EVV66279:EVV66288 FFR66279:FFR66288 FPN66279:FPN66288 FZJ66279:FZJ66288 GJF66279:GJF66288 GTB66279:GTB66288 HCX66279:HCX66288 HMT66279:HMT66288 HWP66279:HWP66288 IGL66279:IGL66288 IQH66279:IQH66288 JAD66279:JAD66288 JJZ66279:JJZ66288 JTV66279:JTV66288 KDR66279:KDR66288 KNN66279:KNN66288 KXJ66279:KXJ66288 LHF66279:LHF66288 LRB66279:LRB66288 MAX66279:MAX66288 MKT66279:MKT66288 MUP66279:MUP66288 NEL66279:NEL66288 NOH66279:NOH66288 NYD66279:NYD66288 OHZ66279:OHZ66288 ORV66279:ORV66288 PBR66279:PBR66288 PLN66279:PLN66288 PVJ66279:PVJ66288 QFF66279:QFF66288 QPB66279:QPB66288 QYX66279:QYX66288 RIT66279:RIT66288 RSP66279:RSP66288 SCL66279:SCL66288 SMH66279:SMH66288 SWD66279:SWD66288 TFZ66279:TFZ66288 TPV66279:TPV66288 TZR66279:TZR66288 UJN66279:UJN66288 UTJ66279:UTJ66288 VDF66279:VDF66288 VNB66279:VNB66288 VWX66279:VWX66288 WGT66279:WGT66288 WQP66279:WQP66288 ED131815:ED131824 NZ131815:NZ131824 XV131815:XV131824 AHR131815:AHR131824 ARN131815:ARN131824 BBJ131815:BBJ131824 BLF131815:BLF131824 BVB131815:BVB131824 CEX131815:CEX131824 COT131815:COT131824 CYP131815:CYP131824 DIL131815:DIL131824 DSH131815:DSH131824 ECD131815:ECD131824 ELZ131815:ELZ131824 EVV131815:EVV131824 FFR131815:FFR131824 FPN131815:FPN131824 FZJ131815:FZJ131824 GJF131815:GJF131824 GTB131815:GTB131824 HCX131815:HCX131824 HMT131815:HMT131824 HWP131815:HWP131824 IGL131815:IGL131824 IQH131815:IQH131824 JAD131815:JAD131824 JJZ131815:JJZ131824 JTV131815:JTV131824 KDR131815:KDR131824 KNN131815:KNN131824 KXJ131815:KXJ131824 LHF131815:LHF131824 LRB131815:LRB131824 MAX131815:MAX131824 MKT131815:MKT131824 MUP131815:MUP131824 NEL131815:NEL131824 NOH131815:NOH131824 NYD131815:NYD131824 OHZ131815:OHZ131824 ORV131815:ORV131824 PBR131815:PBR131824 PLN131815:PLN131824 PVJ131815:PVJ131824 QFF131815:QFF131824 QPB131815:QPB131824 QYX131815:QYX131824 RIT131815:RIT131824 RSP131815:RSP131824 SCL131815:SCL131824 SMH131815:SMH131824 SWD131815:SWD131824 TFZ131815:TFZ131824 TPV131815:TPV131824 TZR131815:TZR131824 UJN131815:UJN131824 UTJ131815:UTJ131824 VDF131815:VDF131824 VNB131815:VNB131824 VWX131815:VWX131824 WGT131815:WGT131824 WQP131815:WQP131824 ED197351:ED197360 NZ197351:NZ197360 XV197351:XV197360 AHR197351:AHR197360 ARN197351:ARN197360 BBJ197351:BBJ197360 BLF197351:BLF197360 BVB197351:BVB197360 CEX197351:CEX197360 COT197351:COT197360 CYP197351:CYP197360 DIL197351:DIL197360 DSH197351:DSH197360 ECD197351:ECD197360 ELZ197351:ELZ197360 EVV197351:EVV197360 FFR197351:FFR197360 FPN197351:FPN197360 FZJ197351:FZJ197360 GJF197351:GJF197360 GTB197351:GTB197360 HCX197351:HCX197360 HMT197351:HMT197360 HWP197351:HWP197360 IGL197351:IGL197360 IQH197351:IQH197360 JAD197351:JAD197360 JJZ197351:JJZ197360 JTV197351:JTV197360 KDR197351:KDR197360 KNN197351:KNN197360 KXJ197351:KXJ197360 LHF197351:LHF197360 LRB197351:LRB197360 MAX197351:MAX197360 MKT197351:MKT197360 MUP197351:MUP197360 NEL197351:NEL197360 NOH197351:NOH197360 NYD197351:NYD197360 OHZ197351:OHZ197360 ORV197351:ORV197360 PBR197351:PBR197360 PLN197351:PLN197360 PVJ197351:PVJ197360 QFF197351:QFF197360 QPB197351:QPB197360 QYX197351:QYX197360 RIT197351:RIT197360 RSP197351:RSP197360 SCL197351:SCL197360 SMH197351:SMH197360 SWD197351:SWD197360 TFZ197351:TFZ197360 TPV197351:TPV197360 TZR197351:TZR197360 UJN197351:UJN197360 UTJ197351:UTJ197360 VDF197351:VDF197360 VNB197351:VNB197360 VWX197351:VWX197360 WGT197351:WGT197360 WQP197351:WQP197360 ED262887:ED262896 NZ262887:NZ262896 XV262887:XV262896 AHR262887:AHR262896 ARN262887:ARN262896 BBJ262887:BBJ262896 BLF262887:BLF262896 BVB262887:BVB262896 CEX262887:CEX262896 COT262887:COT262896 CYP262887:CYP262896 DIL262887:DIL262896 DSH262887:DSH262896 ECD262887:ECD262896 ELZ262887:ELZ262896 EVV262887:EVV262896 FFR262887:FFR262896 FPN262887:FPN262896 FZJ262887:FZJ262896 GJF262887:GJF262896 GTB262887:GTB262896 HCX262887:HCX262896 HMT262887:HMT262896 HWP262887:HWP262896 IGL262887:IGL262896 IQH262887:IQH262896 JAD262887:JAD262896 JJZ262887:JJZ262896 JTV262887:JTV262896 KDR262887:KDR262896 KNN262887:KNN262896 KXJ262887:KXJ262896 LHF262887:LHF262896 LRB262887:LRB262896 MAX262887:MAX262896 MKT262887:MKT262896 MUP262887:MUP262896 NEL262887:NEL262896 NOH262887:NOH262896 NYD262887:NYD262896 OHZ262887:OHZ262896 ORV262887:ORV262896 PBR262887:PBR262896 PLN262887:PLN262896 PVJ262887:PVJ262896 QFF262887:QFF262896 QPB262887:QPB262896 QYX262887:QYX262896 RIT262887:RIT262896 RSP262887:RSP262896 SCL262887:SCL262896 SMH262887:SMH262896 SWD262887:SWD262896 TFZ262887:TFZ262896 TPV262887:TPV262896 TZR262887:TZR262896 UJN262887:UJN262896 UTJ262887:UTJ262896 VDF262887:VDF262896 VNB262887:VNB262896 VWX262887:VWX262896 WGT262887:WGT262896 WQP262887:WQP262896 ED328423:ED328432 NZ328423:NZ328432 XV328423:XV328432 AHR328423:AHR328432 ARN328423:ARN328432 BBJ328423:BBJ328432 BLF328423:BLF328432 BVB328423:BVB328432 CEX328423:CEX328432 COT328423:COT328432 CYP328423:CYP328432 DIL328423:DIL328432 DSH328423:DSH328432 ECD328423:ECD328432 ELZ328423:ELZ328432 EVV328423:EVV328432 FFR328423:FFR328432 FPN328423:FPN328432 FZJ328423:FZJ328432 GJF328423:GJF328432 GTB328423:GTB328432 HCX328423:HCX328432 HMT328423:HMT328432 HWP328423:HWP328432 IGL328423:IGL328432 IQH328423:IQH328432 JAD328423:JAD328432 JJZ328423:JJZ328432 JTV328423:JTV328432 KDR328423:KDR328432 KNN328423:KNN328432 KXJ328423:KXJ328432 LHF328423:LHF328432 LRB328423:LRB328432 MAX328423:MAX328432 MKT328423:MKT328432 MUP328423:MUP328432 NEL328423:NEL328432 NOH328423:NOH328432 NYD328423:NYD328432 OHZ328423:OHZ328432 ORV328423:ORV328432 PBR328423:PBR328432 PLN328423:PLN328432 PVJ328423:PVJ328432 QFF328423:QFF328432 QPB328423:QPB328432 QYX328423:QYX328432 RIT328423:RIT328432 RSP328423:RSP328432 SCL328423:SCL328432 SMH328423:SMH328432 SWD328423:SWD328432 TFZ328423:TFZ328432 TPV328423:TPV328432 TZR328423:TZR328432 UJN328423:UJN328432 UTJ328423:UTJ328432 VDF328423:VDF328432 VNB328423:VNB328432 VWX328423:VWX328432 WGT328423:WGT328432 WQP328423:WQP328432 ED393959:ED393968 NZ393959:NZ393968 XV393959:XV393968 AHR393959:AHR393968 ARN393959:ARN393968 BBJ393959:BBJ393968 BLF393959:BLF393968 BVB393959:BVB393968 CEX393959:CEX393968 COT393959:COT393968 CYP393959:CYP393968 DIL393959:DIL393968 DSH393959:DSH393968 ECD393959:ECD393968 ELZ393959:ELZ393968 EVV393959:EVV393968 FFR393959:FFR393968 FPN393959:FPN393968 FZJ393959:FZJ393968 GJF393959:GJF393968 GTB393959:GTB393968 HCX393959:HCX393968 HMT393959:HMT393968 HWP393959:HWP393968 IGL393959:IGL393968 IQH393959:IQH393968 JAD393959:JAD393968 JJZ393959:JJZ393968 JTV393959:JTV393968 KDR393959:KDR393968 KNN393959:KNN393968 KXJ393959:KXJ393968 LHF393959:LHF393968 LRB393959:LRB393968 MAX393959:MAX393968 MKT393959:MKT393968 MUP393959:MUP393968 NEL393959:NEL393968 NOH393959:NOH393968 NYD393959:NYD393968 OHZ393959:OHZ393968 ORV393959:ORV393968 PBR393959:PBR393968 PLN393959:PLN393968 PVJ393959:PVJ393968 QFF393959:QFF393968 QPB393959:QPB393968 QYX393959:QYX393968 RIT393959:RIT393968 RSP393959:RSP393968 SCL393959:SCL393968 SMH393959:SMH393968 SWD393959:SWD393968 TFZ393959:TFZ393968 TPV393959:TPV393968 TZR393959:TZR393968 UJN393959:UJN393968 UTJ393959:UTJ393968 VDF393959:VDF393968 VNB393959:VNB393968 VWX393959:VWX393968 WGT393959:WGT393968 WQP393959:WQP393968 ED459495:ED459504 NZ459495:NZ459504 XV459495:XV459504 AHR459495:AHR459504 ARN459495:ARN459504 BBJ459495:BBJ459504 BLF459495:BLF459504 BVB459495:BVB459504 CEX459495:CEX459504 COT459495:COT459504 CYP459495:CYP459504 DIL459495:DIL459504 DSH459495:DSH459504 ECD459495:ECD459504 ELZ459495:ELZ459504 EVV459495:EVV459504 FFR459495:FFR459504 FPN459495:FPN459504 FZJ459495:FZJ459504 GJF459495:GJF459504 GTB459495:GTB459504 HCX459495:HCX459504 HMT459495:HMT459504 HWP459495:HWP459504 IGL459495:IGL459504 IQH459495:IQH459504 JAD459495:JAD459504 JJZ459495:JJZ459504 JTV459495:JTV459504 KDR459495:KDR459504 KNN459495:KNN459504 KXJ459495:KXJ459504 LHF459495:LHF459504 LRB459495:LRB459504 MAX459495:MAX459504 MKT459495:MKT459504 MUP459495:MUP459504 NEL459495:NEL459504 NOH459495:NOH459504 NYD459495:NYD459504 OHZ459495:OHZ459504 ORV459495:ORV459504 PBR459495:PBR459504 PLN459495:PLN459504 PVJ459495:PVJ459504 QFF459495:QFF459504 QPB459495:QPB459504 QYX459495:QYX459504 RIT459495:RIT459504 RSP459495:RSP459504 SCL459495:SCL459504 SMH459495:SMH459504 SWD459495:SWD459504 TFZ459495:TFZ459504 TPV459495:TPV459504 TZR459495:TZR459504 UJN459495:UJN459504 UTJ459495:UTJ459504 VDF459495:VDF459504 VNB459495:VNB459504 VWX459495:VWX459504 WGT459495:WGT459504 WQP459495:WQP459504 ED525031:ED525040 NZ525031:NZ525040 XV525031:XV525040 AHR525031:AHR525040 ARN525031:ARN525040 BBJ525031:BBJ525040 BLF525031:BLF525040 BVB525031:BVB525040 CEX525031:CEX525040 COT525031:COT525040 CYP525031:CYP525040 DIL525031:DIL525040 DSH525031:DSH525040 ECD525031:ECD525040 ELZ525031:ELZ525040 EVV525031:EVV525040 FFR525031:FFR525040 FPN525031:FPN525040 FZJ525031:FZJ525040 GJF525031:GJF525040 GTB525031:GTB525040 HCX525031:HCX525040 HMT525031:HMT525040 HWP525031:HWP525040 IGL525031:IGL525040 IQH525031:IQH525040 JAD525031:JAD525040 JJZ525031:JJZ525040 JTV525031:JTV525040 KDR525031:KDR525040 KNN525031:KNN525040 KXJ525031:KXJ525040 LHF525031:LHF525040 LRB525031:LRB525040 MAX525031:MAX525040 MKT525031:MKT525040 MUP525031:MUP525040 NEL525031:NEL525040 NOH525031:NOH525040 NYD525031:NYD525040 OHZ525031:OHZ525040 ORV525031:ORV525040 PBR525031:PBR525040 PLN525031:PLN525040 PVJ525031:PVJ525040 QFF525031:QFF525040 QPB525031:QPB525040 QYX525031:QYX525040 RIT525031:RIT525040 RSP525031:RSP525040 SCL525031:SCL525040 SMH525031:SMH525040 SWD525031:SWD525040 TFZ525031:TFZ525040 TPV525031:TPV525040 TZR525031:TZR525040 UJN525031:UJN525040 UTJ525031:UTJ525040 VDF525031:VDF525040 VNB525031:VNB525040 VWX525031:VWX525040 WGT525031:WGT525040 WQP525031:WQP525040 ED590567:ED590576 NZ590567:NZ590576 XV590567:XV590576 AHR590567:AHR590576 ARN590567:ARN590576 BBJ590567:BBJ590576 BLF590567:BLF590576 BVB590567:BVB590576 CEX590567:CEX590576 COT590567:COT590576 CYP590567:CYP590576 DIL590567:DIL590576 DSH590567:DSH590576 ECD590567:ECD590576 ELZ590567:ELZ590576 EVV590567:EVV590576 FFR590567:FFR590576 FPN590567:FPN590576 FZJ590567:FZJ590576 GJF590567:GJF590576 GTB590567:GTB590576 HCX590567:HCX590576 HMT590567:HMT590576 HWP590567:HWP590576 IGL590567:IGL590576 IQH590567:IQH590576 JAD590567:JAD590576 JJZ590567:JJZ590576 JTV590567:JTV590576 KDR590567:KDR590576 KNN590567:KNN590576 KXJ590567:KXJ590576 LHF590567:LHF590576 LRB590567:LRB590576 MAX590567:MAX590576 MKT590567:MKT590576 MUP590567:MUP590576 NEL590567:NEL590576 NOH590567:NOH590576 NYD590567:NYD590576 OHZ590567:OHZ590576 ORV590567:ORV590576 PBR590567:PBR590576 PLN590567:PLN590576 PVJ590567:PVJ590576 QFF590567:QFF590576 QPB590567:QPB590576 QYX590567:QYX590576 RIT590567:RIT590576 RSP590567:RSP590576 SCL590567:SCL590576 SMH590567:SMH590576 SWD590567:SWD590576 TFZ590567:TFZ590576 TPV590567:TPV590576 TZR590567:TZR590576 UJN590567:UJN590576 UTJ590567:UTJ590576 VDF590567:VDF590576 VNB590567:VNB590576 VWX590567:VWX590576 WGT590567:WGT590576 WQP590567:WQP590576 ED656103:ED656112 NZ656103:NZ656112 XV656103:XV656112 AHR656103:AHR656112 ARN656103:ARN656112 BBJ656103:BBJ656112 BLF656103:BLF656112 BVB656103:BVB656112 CEX656103:CEX656112 COT656103:COT656112 CYP656103:CYP656112 DIL656103:DIL656112 DSH656103:DSH656112 ECD656103:ECD656112 ELZ656103:ELZ656112 EVV656103:EVV656112 FFR656103:FFR656112 FPN656103:FPN656112 FZJ656103:FZJ656112 GJF656103:GJF656112 GTB656103:GTB656112 HCX656103:HCX656112 HMT656103:HMT656112 HWP656103:HWP656112 IGL656103:IGL656112 IQH656103:IQH656112 JAD656103:JAD656112 JJZ656103:JJZ656112 JTV656103:JTV656112 KDR656103:KDR656112 KNN656103:KNN656112 KXJ656103:KXJ656112 LHF656103:LHF656112 LRB656103:LRB656112 MAX656103:MAX656112 MKT656103:MKT656112 MUP656103:MUP656112 NEL656103:NEL656112 NOH656103:NOH656112 NYD656103:NYD656112 OHZ656103:OHZ656112 ORV656103:ORV656112 PBR656103:PBR656112 PLN656103:PLN656112 PVJ656103:PVJ656112 QFF656103:QFF656112 QPB656103:QPB656112 QYX656103:QYX656112 RIT656103:RIT656112 RSP656103:RSP656112 SCL656103:SCL656112 SMH656103:SMH656112 SWD656103:SWD656112 TFZ656103:TFZ656112 TPV656103:TPV656112 TZR656103:TZR656112 UJN656103:UJN656112 UTJ656103:UTJ656112 VDF656103:VDF656112 VNB656103:VNB656112 VWX656103:VWX656112 WGT656103:WGT656112 WQP656103:WQP656112 ED721639:ED721648 NZ721639:NZ721648 XV721639:XV721648 AHR721639:AHR721648 ARN721639:ARN721648 BBJ721639:BBJ721648 BLF721639:BLF721648 BVB721639:BVB721648 CEX721639:CEX721648 COT721639:COT721648 CYP721639:CYP721648 DIL721639:DIL721648 DSH721639:DSH721648 ECD721639:ECD721648 ELZ721639:ELZ721648 EVV721639:EVV721648 FFR721639:FFR721648 FPN721639:FPN721648 FZJ721639:FZJ721648 GJF721639:GJF721648 GTB721639:GTB721648 HCX721639:HCX721648 HMT721639:HMT721648 HWP721639:HWP721648 IGL721639:IGL721648 IQH721639:IQH721648 JAD721639:JAD721648 JJZ721639:JJZ721648 JTV721639:JTV721648 KDR721639:KDR721648 KNN721639:KNN721648 KXJ721639:KXJ721648 LHF721639:LHF721648 LRB721639:LRB721648 MAX721639:MAX721648 MKT721639:MKT721648 MUP721639:MUP721648 NEL721639:NEL721648 NOH721639:NOH721648 NYD721639:NYD721648 OHZ721639:OHZ721648 ORV721639:ORV721648 PBR721639:PBR721648 PLN721639:PLN721648 PVJ721639:PVJ721648 QFF721639:QFF721648 QPB721639:QPB721648 QYX721639:QYX721648 RIT721639:RIT721648 RSP721639:RSP721648 SCL721639:SCL721648 SMH721639:SMH721648 SWD721639:SWD721648 TFZ721639:TFZ721648 TPV721639:TPV721648 TZR721639:TZR721648 UJN721639:UJN721648 UTJ721639:UTJ721648 VDF721639:VDF721648 VNB721639:VNB721648 VWX721639:VWX721648 WGT721639:WGT721648 WQP721639:WQP721648 ED787175:ED787184 NZ787175:NZ787184 XV787175:XV787184 AHR787175:AHR787184 ARN787175:ARN787184 BBJ787175:BBJ787184 BLF787175:BLF787184 BVB787175:BVB787184 CEX787175:CEX787184 COT787175:COT787184 CYP787175:CYP787184 DIL787175:DIL787184 DSH787175:DSH787184 ECD787175:ECD787184 ELZ787175:ELZ787184 EVV787175:EVV787184 FFR787175:FFR787184 FPN787175:FPN787184 FZJ787175:FZJ787184 GJF787175:GJF787184 GTB787175:GTB787184 HCX787175:HCX787184 HMT787175:HMT787184 HWP787175:HWP787184 IGL787175:IGL787184 IQH787175:IQH787184 JAD787175:JAD787184 JJZ787175:JJZ787184 JTV787175:JTV787184 KDR787175:KDR787184 KNN787175:KNN787184 KXJ787175:KXJ787184 LHF787175:LHF787184 LRB787175:LRB787184 MAX787175:MAX787184 MKT787175:MKT787184 MUP787175:MUP787184 NEL787175:NEL787184 NOH787175:NOH787184 NYD787175:NYD787184 OHZ787175:OHZ787184 ORV787175:ORV787184 PBR787175:PBR787184 PLN787175:PLN787184 PVJ787175:PVJ787184 QFF787175:QFF787184 QPB787175:QPB787184 QYX787175:QYX787184 RIT787175:RIT787184 RSP787175:RSP787184 SCL787175:SCL787184 SMH787175:SMH787184 SWD787175:SWD787184 TFZ787175:TFZ787184 TPV787175:TPV787184 TZR787175:TZR787184 UJN787175:UJN787184 UTJ787175:UTJ787184 VDF787175:VDF787184 VNB787175:VNB787184 VWX787175:VWX787184 WGT787175:WGT787184 WQP787175:WQP787184 ED852711:ED852720 NZ852711:NZ852720 XV852711:XV852720 AHR852711:AHR852720 ARN852711:ARN852720 BBJ852711:BBJ852720 BLF852711:BLF852720 BVB852711:BVB852720 CEX852711:CEX852720 COT852711:COT852720 CYP852711:CYP852720 DIL852711:DIL852720 DSH852711:DSH852720 ECD852711:ECD852720 ELZ852711:ELZ852720 EVV852711:EVV852720 FFR852711:FFR852720 FPN852711:FPN852720 FZJ852711:FZJ852720 GJF852711:GJF852720 GTB852711:GTB852720 HCX852711:HCX852720 HMT852711:HMT852720 HWP852711:HWP852720 IGL852711:IGL852720 IQH852711:IQH852720 JAD852711:JAD852720 JJZ852711:JJZ852720 JTV852711:JTV852720 KDR852711:KDR852720 KNN852711:KNN852720 KXJ852711:KXJ852720 LHF852711:LHF852720 LRB852711:LRB852720 MAX852711:MAX852720 MKT852711:MKT852720 MUP852711:MUP852720 NEL852711:NEL852720 NOH852711:NOH852720 NYD852711:NYD852720 OHZ852711:OHZ852720 ORV852711:ORV852720 PBR852711:PBR852720 PLN852711:PLN852720 PVJ852711:PVJ852720 QFF852711:QFF852720 QPB852711:QPB852720 QYX852711:QYX852720 RIT852711:RIT852720 RSP852711:RSP852720 SCL852711:SCL852720 SMH852711:SMH852720 SWD852711:SWD852720 TFZ852711:TFZ852720 TPV852711:TPV852720 TZR852711:TZR852720 UJN852711:UJN852720 UTJ852711:UTJ852720 VDF852711:VDF852720 VNB852711:VNB852720 VWX852711:VWX852720 WGT852711:WGT852720 WQP852711:WQP852720 ED918247:ED918256 NZ918247:NZ918256 XV918247:XV918256 AHR918247:AHR918256 ARN918247:ARN918256 BBJ918247:BBJ918256 BLF918247:BLF918256 BVB918247:BVB918256 CEX918247:CEX918256 COT918247:COT918256 CYP918247:CYP918256 DIL918247:DIL918256 DSH918247:DSH918256 ECD918247:ECD918256 ELZ918247:ELZ918256 EVV918247:EVV918256 FFR918247:FFR918256 FPN918247:FPN918256 FZJ918247:FZJ918256 GJF918247:GJF918256 GTB918247:GTB918256 HCX918247:HCX918256 HMT918247:HMT918256 HWP918247:HWP918256 IGL918247:IGL918256 IQH918247:IQH918256 JAD918247:JAD918256 JJZ918247:JJZ918256 JTV918247:JTV918256 KDR918247:KDR918256 KNN918247:KNN918256 KXJ918247:KXJ918256 LHF918247:LHF918256 LRB918247:LRB918256 MAX918247:MAX918256 MKT918247:MKT918256 MUP918247:MUP918256 NEL918247:NEL918256 NOH918247:NOH918256 NYD918247:NYD918256 OHZ918247:OHZ918256 ORV918247:ORV918256 PBR918247:PBR918256 PLN918247:PLN918256 PVJ918247:PVJ918256 QFF918247:QFF918256 QPB918247:QPB918256 QYX918247:QYX918256 RIT918247:RIT918256 RSP918247:RSP918256 SCL918247:SCL918256 SMH918247:SMH918256 SWD918247:SWD918256 TFZ918247:TFZ918256 TPV918247:TPV918256 TZR918247:TZR918256 UJN918247:UJN918256 UTJ918247:UTJ918256 VDF918247:VDF918256 VNB918247:VNB918256 VWX918247:VWX918256 WGT918247:WGT918256 WQP918247:WQP918256 ED983783:ED983792 NZ983783:NZ983792 XV983783:XV983792 AHR983783:AHR983792 ARN983783:ARN983792 BBJ983783:BBJ983792 BLF983783:BLF983792 BVB983783:BVB983792 CEX983783:CEX983792 COT983783:COT983792 CYP983783:CYP983792 DIL983783:DIL983792 DSH983783:DSH983792 ECD983783:ECD983792 ELZ983783:ELZ983792 EVV983783:EVV983792 FFR983783:FFR983792 FPN983783:FPN983792 FZJ983783:FZJ983792 GJF983783:GJF983792 GTB983783:GTB983792 HCX983783:HCX983792 HMT983783:HMT983792 HWP983783:HWP983792 IGL983783:IGL983792 IQH983783:IQH983792 JAD983783:JAD983792 JJZ983783:JJZ983792 JTV983783:JTV983792 KDR983783:KDR983792 KNN983783:KNN983792 KXJ983783:KXJ983792 LHF983783:LHF983792 LRB983783:LRB983792 MAX983783:MAX983792 MKT983783:MKT983792 MUP983783:MUP983792 NEL983783:NEL983792 NOH983783:NOH983792 NYD983783:NYD983792 OHZ983783:OHZ983792 ORV983783:ORV983792 PBR983783:PBR983792 PLN983783:PLN983792 PVJ983783:PVJ983792 QFF983783:QFF983792 QPB983783:QPB983792 QYX983783:QYX983792 RIT983783:RIT983792 RSP983783:RSP983792 SCL983783:SCL983792 SMH983783:SMH983792 SWD983783:SWD983792 TFZ983783:TFZ983792 TPV983783:TPV983792 TZR983783:TZR983792 UJN983783:UJN983792 UTJ983783:UTJ983792 VDF983783:VDF983792 VNB983783:VNB983792 VWX983783:VWX983792 WGT983783:WGT983792 WQP983783:WQP983792 ED66223:ED66224 NZ66223:NZ66224 XV66223:XV66224 AHR66223:AHR66224 ARN66223:ARN66224 BBJ66223:BBJ66224 BLF66223:BLF66224 BVB66223:BVB66224 CEX66223:CEX66224 COT66223:COT66224 CYP66223:CYP66224 DIL66223:DIL66224 DSH66223:DSH66224 ECD66223:ECD66224 ELZ66223:ELZ66224 EVV66223:EVV66224 FFR66223:FFR66224 FPN66223:FPN66224 FZJ66223:FZJ66224 GJF66223:GJF66224 GTB66223:GTB66224 HCX66223:HCX66224 HMT66223:HMT66224 HWP66223:HWP66224 IGL66223:IGL66224 IQH66223:IQH66224 JAD66223:JAD66224 JJZ66223:JJZ66224 JTV66223:JTV66224 KDR66223:KDR66224 KNN66223:KNN66224 KXJ66223:KXJ66224 LHF66223:LHF66224 LRB66223:LRB66224 MAX66223:MAX66224 MKT66223:MKT66224 MUP66223:MUP66224 NEL66223:NEL66224 NOH66223:NOH66224 NYD66223:NYD66224 OHZ66223:OHZ66224 ORV66223:ORV66224 PBR66223:PBR66224 PLN66223:PLN66224 PVJ66223:PVJ66224 QFF66223:QFF66224 QPB66223:QPB66224 QYX66223:QYX66224 RIT66223:RIT66224 RSP66223:RSP66224 SCL66223:SCL66224 SMH66223:SMH66224 SWD66223:SWD66224 TFZ66223:TFZ66224 TPV66223:TPV66224 TZR66223:TZR66224 UJN66223:UJN66224 UTJ66223:UTJ66224 VDF66223:VDF66224 VNB66223:VNB66224 VWX66223:VWX66224 WGT66223:WGT66224 WQP66223:WQP66224 ED131759:ED131760 NZ131759:NZ131760 XV131759:XV131760 AHR131759:AHR131760 ARN131759:ARN131760 BBJ131759:BBJ131760 BLF131759:BLF131760 BVB131759:BVB131760 CEX131759:CEX131760 COT131759:COT131760 CYP131759:CYP131760 DIL131759:DIL131760 DSH131759:DSH131760 ECD131759:ECD131760 ELZ131759:ELZ131760 EVV131759:EVV131760 FFR131759:FFR131760 FPN131759:FPN131760 FZJ131759:FZJ131760 GJF131759:GJF131760 GTB131759:GTB131760 HCX131759:HCX131760 HMT131759:HMT131760 HWP131759:HWP131760 IGL131759:IGL131760 IQH131759:IQH131760 JAD131759:JAD131760 JJZ131759:JJZ131760 JTV131759:JTV131760 KDR131759:KDR131760 KNN131759:KNN131760 KXJ131759:KXJ131760 LHF131759:LHF131760 LRB131759:LRB131760 MAX131759:MAX131760 MKT131759:MKT131760 MUP131759:MUP131760 NEL131759:NEL131760 NOH131759:NOH131760 NYD131759:NYD131760 OHZ131759:OHZ131760 ORV131759:ORV131760 PBR131759:PBR131760 PLN131759:PLN131760 PVJ131759:PVJ131760 QFF131759:QFF131760 QPB131759:QPB131760 QYX131759:QYX131760 RIT131759:RIT131760 RSP131759:RSP131760 SCL131759:SCL131760 SMH131759:SMH131760 SWD131759:SWD131760 TFZ131759:TFZ131760 TPV131759:TPV131760 TZR131759:TZR131760 UJN131759:UJN131760 UTJ131759:UTJ131760 VDF131759:VDF131760 VNB131759:VNB131760 VWX131759:VWX131760 WGT131759:WGT131760 WQP131759:WQP131760 ED197295:ED197296 NZ197295:NZ197296 XV197295:XV197296 AHR197295:AHR197296 ARN197295:ARN197296 BBJ197295:BBJ197296 BLF197295:BLF197296 BVB197295:BVB197296 CEX197295:CEX197296 COT197295:COT197296 CYP197295:CYP197296 DIL197295:DIL197296 DSH197295:DSH197296 ECD197295:ECD197296 ELZ197295:ELZ197296 EVV197295:EVV197296 FFR197295:FFR197296 FPN197295:FPN197296 FZJ197295:FZJ197296 GJF197295:GJF197296 GTB197295:GTB197296 HCX197295:HCX197296 HMT197295:HMT197296 HWP197295:HWP197296 IGL197295:IGL197296 IQH197295:IQH197296 JAD197295:JAD197296 JJZ197295:JJZ197296 JTV197295:JTV197296 KDR197295:KDR197296 KNN197295:KNN197296 KXJ197295:KXJ197296 LHF197295:LHF197296 LRB197295:LRB197296 MAX197295:MAX197296 MKT197295:MKT197296 MUP197295:MUP197296 NEL197295:NEL197296 NOH197295:NOH197296 NYD197295:NYD197296 OHZ197295:OHZ197296 ORV197295:ORV197296 PBR197295:PBR197296 PLN197295:PLN197296 PVJ197295:PVJ197296 QFF197295:QFF197296 QPB197295:QPB197296 QYX197295:QYX197296 RIT197295:RIT197296 RSP197295:RSP197296 SCL197295:SCL197296 SMH197295:SMH197296 SWD197295:SWD197296 TFZ197295:TFZ197296 TPV197295:TPV197296 TZR197295:TZR197296 UJN197295:UJN197296 UTJ197295:UTJ197296 VDF197295:VDF197296 VNB197295:VNB197296 VWX197295:VWX197296 WGT197295:WGT197296 WQP197295:WQP197296 ED262831:ED262832 NZ262831:NZ262832 XV262831:XV262832 AHR262831:AHR262832 ARN262831:ARN262832 BBJ262831:BBJ262832 BLF262831:BLF262832 BVB262831:BVB262832 CEX262831:CEX262832 COT262831:COT262832 CYP262831:CYP262832 DIL262831:DIL262832 DSH262831:DSH262832 ECD262831:ECD262832 ELZ262831:ELZ262832 EVV262831:EVV262832 FFR262831:FFR262832 FPN262831:FPN262832 FZJ262831:FZJ262832 GJF262831:GJF262832 GTB262831:GTB262832 HCX262831:HCX262832 HMT262831:HMT262832 HWP262831:HWP262832 IGL262831:IGL262832 IQH262831:IQH262832 JAD262831:JAD262832 JJZ262831:JJZ262832 JTV262831:JTV262832 KDR262831:KDR262832 KNN262831:KNN262832 KXJ262831:KXJ262832 LHF262831:LHF262832 LRB262831:LRB262832 MAX262831:MAX262832 MKT262831:MKT262832 MUP262831:MUP262832 NEL262831:NEL262832 NOH262831:NOH262832 NYD262831:NYD262832 OHZ262831:OHZ262832 ORV262831:ORV262832 PBR262831:PBR262832 PLN262831:PLN262832 PVJ262831:PVJ262832 QFF262831:QFF262832 QPB262831:QPB262832 QYX262831:QYX262832 RIT262831:RIT262832 RSP262831:RSP262832 SCL262831:SCL262832 SMH262831:SMH262832 SWD262831:SWD262832 TFZ262831:TFZ262832 TPV262831:TPV262832 TZR262831:TZR262832 UJN262831:UJN262832 UTJ262831:UTJ262832 VDF262831:VDF262832 VNB262831:VNB262832 VWX262831:VWX262832 WGT262831:WGT262832 WQP262831:WQP262832 ED328367:ED328368 NZ328367:NZ328368 XV328367:XV328368 AHR328367:AHR328368 ARN328367:ARN328368 BBJ328367:BBJ328368 BLF328367:BLF328368 BVB328367:BVB328368 CEX328367:CEX328368 COT328367:COT328368 CYP328367:CYP328368 DIL328367:DIL328368 DSH328367:DSH328368 ECD328367:ECD328368 ELZ328367:ELZ328368 EVV328367:EVV328368 FFR328367:FFR328368 FPN328367:FPN328368 FZJ328367:FZJ328368 GJF328367:GJF328368 GTB328367:GTB328368 HCX328367:HCX328368 HMT328367:HMT328368 HWP328367:HWP328368 IGL328367:IGL328368 IQH328367:IQH328368 JAD328367:JAD328368 JJZ328367:JJZ328368 JTV328367:JTV328368 KDR328367:KDR328368 KNN328367:KNN328368 KXJ328367:KXJ328368 LHF328367:LHF328368 LRB328367:LRB328368 MAX328367:MAX328368 MKT328367:MKT328368 MUP328367:MUP328368 NEL328367:NEL328368 NOH328367:NOH328368 NYD328367:NYD328368 OHZ328367:OHZ328368 ORV328367:ORV328368 PBR328367:PBR328368 PLN328367:PLN328368 PVJ328367:PVJ328368 QFF328367:QFF328368 QPB328367:QPB328368 QYX328367:QYX328368 RIT328367:RIT328368 RSP328367:RSP328368 SCL328367:SCL328368 SMH328367:SMH328368 SWD328367:SWD328368 TFZ328367:TFZ328368 TPV328367:TPV328368 TZR328367:TZR328368 UJN328367:UJN328368 UTJ328367:UTJ328368 VDF328367:VDF328368 VNB328367:VNB328368 VWX328367:VWX328368 WGT328367:WGT328368 WQP328367:WQP328368 ED393903:ED393904 NZ393903:NZ393904 XV393903:XV393904 AHR393903:AHR393904 ARN393903:ARN393904 BBJ393903:BBJ393904 BLF393903:BLF393904 BVB393903:BVB393904 CEX393903:CEX393904 COT393903:COT393904 CYP393903:CYP393904 DIL393903:DIL393904 DSH393903:DSH393904 ECD393903:ECD393904 ELZ393903:ELZ393904 EVV393903:EVV393904 FFR393903:FFR393904 FPN393903:FPN393904 FZJ393903:FZJ393904 GJF393903:GJF393904 GTB393903:GTB393904 HCX393903:HCX393904 HMT393903:HMT393904 HWP393903:HWP393904 IGL393903:IGL393904 IQH393903:IQH393904 JAD393903:JAD393904 JJZ393903:JJZ393904 JTV393903:JTV393904 KDR393903:KDR393904 KNN393903:KNN393904 KXJ393903:KXJ393904 LHF393903:LHF393904 LRB393903:LRB393904 MAX393903:MAX393904 MKT393903:MKT393904 MUP393903:MUP393904 NEL393903:NEL393904 NOH393903:NOH393904 NYD393903:NYD393904 OHZ393903:OHZ393904 ORV393903:ORV393904 PBR393903:PBR393904 PLN393903:PLN393904 PVJ393903:PVJ393904 QFF393903:QFF393904 QPB393903:QPB393904 QYX393903:QYX393904 RIT393903:RIT393904 RSP393903:RSP393904 SCL393903:SCL393904 SMH393903:SMH393904 SWD393903:SWD393904 TFZ393903:TFZ393904 TPV393903:TPV393904 TZR393903:TZR393904 UJN393903:UJN393904 UTJ393903:UTJ393904 VDF393903:VDF393904 VNB393903:VNB393904 VWX393903:VWX393904 WGT393903:WGT393904 WQP393903:WQP393904 ED459439:ED459440 NZ459439:NZ459440 XV459439:XV459440 AHR459439:AHR459440 ARN459439:ARN459440 BBJ459439:BBJ459440 BLF459439:BLF459440 BVB459439:BVB459440 CEX459439:CEX459440 COT459439:COT459440 CYP459439:CYP459440 DIL459439:DIL459440 DSH459439:DSH459440 ECD459439:ECD459440 ELZ459439:ELZ459440 EVV459439:EVV459440 FFR459439:FFR459440 FPN459439:FPN459440 FZJ459439:FZJ459440 GJF459439:GJF459440 GTB459439:GTB459440 HCX459439:HCX459440 HMT459439:HMT459440 HWP459439:HWP459440 IGL459439:IGL459440 IQH459439:IQH459440 JAD459439:JAD459440 JJZ459439:JJZ459440 JTV459439:JTV459440 KDR459439:KDR459440 KNN459439:KNN459440 KXJ459439:KXJ459440 LHF459439:LHF459440 LRB459439:LRB459440 MAX459439:MAX459440 MKT459439:MKT459440 MUP459439:MUP459440 NEL459439:NEL459440 NOH459439:NOH459440 NYD459439:NYD459440 OHZ459439:OHZ459440 ORV459439:ORV459440 PBR459439:PBR459440 PLN459439:PLN459440 PVJ459439:PVJ459440 QFF459439:QFF459440 QPB459439:QPB459440 QYX459439:QYX459440 RIT459439:RIT459440 RSP459439:RSP459440 SCL459439:SCL459440 SMH459439:SMH459440 SWD459439:SWD459440 TFZ459439:TFZ459440 TPV459439:TPV459440 TZR459439:TZR459440 UJN459439:UJN459440 UTJ459439:UTJ459440 VDF459439:VDF459440 VNB459439:VNB459440 VWX459439:VWX459440 WGT459439:WGT459440 WQP459439:WQP459440 ED524975:ED524976 NZ524975:NZ524976 XV524975:XV524976 AHR524975:AHR524976 ARN524975:ARN524976 BBJ524975:BBJ524976 BLF524975:BLF524976 BVB524975:BVB524976 CEX524975:CEX524976 COT524975:COT524976 CYP524975:CYP524976 DIL524975:DIL524976 DSH524975:DSH524976 ECD524975:ECD524976 ELZ524975:ELZ524976 EVV524975:EVV524976 FFR524975:FFR524976 FPN524975:FPN524976 FZJ524975:FZJ524976 GJF524975:GJF524976 GTB524975:GTB524976 HCX524975:HCX524976 HMT524975:HMT524976 HWP524975:HWP524976 IGL524975:IGL524976 IQH524975:IQH524976 JAD524975:JAD524976 JJZ524975:JJZ524976 JTV524975:JTV524976 KDR524975:KDR524976 KNN524975:KNN524976 KXJ524975:KXJ524976 LHF524975:LHF524976 LRB524975:LRB524976 MAX524975:MAX524976 MKT524975:MKT524976 MUP524975:MUP524976 NEL524975:NEL524976 NOH524975:NOH524976 NYD524975:NYD524976 OHZ524975:OHZ524976 ORV524975:ORV524976 PBR524975:PBR524976 PLN524975:PLN524976 PVJ524975:PVJ524976 QFF524975:QFF524976 QPB524975:QPB524976 QYX524975:QYX524976 RIT524975:RIT524976 RSP524975:RSP524976 SCL524975:SCL524976 SMH524975:SMH524976 SWD524975:SWD524976 TFZ524975:TFZ524976 TPV524975:TPV524976 TZR524975:TZR524976 UJN524975:UJN524976 UTJ524975:UTJ524976 VDF524975:VDF524976 VNB524975:VNB524976 VWX524975:VWX524976 WGT524975:WGT524976 WQP524975:WQP524976 ED590511:ED590512 NZ590511:NZ590512 XV590511:XV590512 AHR590511:AHR590512 ARN590511:ARN590512 BBJ590511:BBJ590512 BLF590511:BLF590512 BVB590511:BVB590512 CEX590511:CEX590512 COT590511:COT590512 CYP590511:CYP590512 DIL590511:DIL590512 DSH590511:DSH590512 ECD590511:ECD590512 ELZ590511:ELZ590512 EVV590511:EVV590512 FFR590511:FFR590512 FPN590511:FPN590512 FZJ590511:FZJ590512 GJF590511:GJF590512 GTB590511:GTB590512 HCX590511:HCX590512 HMT590511:HMT590512 HWP590511:HWP590512 IGL590511:IGL590512 IQH590511:IQH590512 JAD590511:JAD590512 JJZ590511:JJZ590512 JTV590511:JTV590512 KDR590511:KDR590512 KNN590511:KNN590512 KXJ590511:KXJ590512 LHF590511:LHF590512 LRB590511:LRB590512 MAX590511:MAX590512 MKT590511:MKT590512 MUP590511:MUP590512 NEL590511:NEL590512 NOH590511:NOH590512 NYD590511:NYD590512 OHZ590511:OHZ590512 ORV590511:ORV590512 PBR590511:PBR590512 PLN590511:PLN590512 PVJ590511:PVJ590512 QFF590511:QFF590512 QPB590511:QPB590512 QYX590511:QYX590512 RIT590511:RIT590512 RSP590511:RSP590512 SCL590511:SCL590512 SMH590511:SMH590512 SWD590511:SWD590512 TFZ590511:TFZ590512 TPV590511:TPV590512 TZR590511:TZR590512 UJN590511:UJN590512 UTJ590511:UTJ590512 VDF590511:VDF590512 VNB590511:VNB590512 VWX590511:VWX590512 WGT590511:WGT590512 WQP590511:WQP590512 ED656047:ED656048 NZ656047:NZ656048 XV656047:XV656048 AHR656047:AHR656048 ARN656047:ARN656048 BBJ656047:BBJ656048 BLF656047:BLF656048 BVB656047:BVB656048 CEX656047:CEX656048 COT656047:COT656048 CYP656047:CYP656048 DIL656047:DIL656048 DSH656047:DSH656048 ECD656047:ECD656048 ELZ656047:ELZ656048 EVV656047:EVV656048 FFR656047:FFR656048 FPN656047:FPN656048 FZJ656047:FZJ656048 GJF656047:GJF656048 GTB656047:GTB656048 HCX656047:HCX656048 HMT656047:HMT656048 HWP656047:HWP656048 IGL656047:IGL656048 IQH656047:IQH656048 JAD656047:JAD656048 JJZ656047:JJZ656048 JTV656047:JTV656048 KDR656047:KDR656048 KNN656047:KNN656048 KXJ656047:KXJ656048 LHF656047:LHF656048 LRB656047:LRB656048 MAX656047:MAX656048 MKT656047:MKT656048 MUP656047:MUP656048 NEL656047:NEL656048 NOH656047:NOH656048 NYD656047:NYD656048 OHZ656047:OHZ656048 ORV656047:ORV656048 PBR656047:PBR656048 PLN656047:PLN656048 PVJ656047:PVJ656048 QFF656047:QFF656048 QPB656047:QPB656048 QYX656047:QYX656048 RIT656047:RIT656048 RSP656047:RSP656048 SCL656047:SCL656048 SMH656047:SMH656048 SWD656047:SWD656048 TFZ656047:TFZ656048 TPV656047:TPV656048 TZR656047:TZR656048 UJN656047:UJN656048 UTJ656047:UTJ656048 VDF656047:VDF656048 VNB656047:VNB656048 VWX656047:VWX656048 WGT656047:WGT656048 WQP656047:WQP656048 ED721583:ED721584 NZ721583:NZ721584 XV721583:XV721584 AHR721583:AHR721584 ARN721583:ARN721584 BBJ721583:BBJ721584 BLF721583:BLF721584 BVB721583:BVB721584 CEX721583:CEX721584 COT721583:COT721584 CYP721583:CYP721584 DIL721583:DIL721584 DSH721583:DSH721584 ECD721583:ECD721584 ELZ721583:ELZ721584 EVV721583:EVV721584 FFR721583:FFR721584 FPN721583:FPN721584 FZJ721583:FZJ721584 GJF721583:GJF721584 GTB721583:GTB721584 HCX721583:HCX721584 HMT721583:HMT721584 HWP721583:HWP721584 IGL721583:IGL721584 IQH721583:IQH721584 JAD721583:JAD721584 JJZ721583:JJZ721584 JTV721583:JTV721584 KDR721583:KDR721584 KNN721583:KNN721584 KXJ721583:KXJ721584 LHF721583:LHF721584 LRB721583:LRB721584 MAX721583:MAX721584 MKT721583:MKT721584 MUP721583:MUP721584 NEL721583:NEL721584 NOH721583:NOH721584 NYD721583:NYD721584 OHZ721583:OHZ721584 ORV721583:ORV721584 PBR721583:PBR721584 PLN721583:PLN721584 PVJ721583:PVJ721584 QFF721583:QFF721584 QPB721583:QPB721584 QYX721583:QYX721584 RIT721583:RIT721584 RSP721583:RSP721584 SCL721583:SCL721584 SMH721583:SMH721584 SWD721583:SWD721584 TFZ721583:TFZ721584 TPV721583:TPV721584 TZR721583:TZR721584 UJN721583:UJN721584 UTJ721583:UTJ721584 VDF721583:VDF721584 VNB721583:VNB721584 VWX721583:VWX721584 WGT721583:WGT721584 WQP721583:WQP721584 ED787119:ED787120 NZ787119:NZ787120 XV787119:XV787120 AHR787119:AHR787120 ARN787119:ARN787120 BBJ787119:BBJ787120 BLF787119:BLF787120 BVB787119:BVB787120 CEX787119:CEX787120 COT787119:COT787120 CYP787119:CYP787120 DIL787119:DIL787120 DSH787119:DSH787120 ECD787119:ECD787120 ELZ787119:ELZ787120 EVV787119:EVV787120 FFR787119:FFR787120 FPN787119:FPN787120 FZJ787119:FZJ787120 GJF787119:GJF787120 GTB787119:GTB787120 HCX787119:HCX787120 HMT787119:HMT787120 HWP787119:HWP787120 IGL787119:IGL787120 IQH787119:IQH787120 JAD787119:JAD787120 JJZ787119:JJZ787120 JTV787119:JTV787120 KDR787119:KDR787120 KNN787119:KNN787120 KXJ787119:KXJ787120 LHF787119:LHF787120 LRB787119:LRB787120 MAX787119:MAX787120 MKT787119:MKT787120 MUP787119:MUP787120 NEL787119:NEL787120 NOH787119:NOH787120 NYD787119:NYD787120 OHZ787119:OHZ787120 ORV787119:ORV787120 PBR787119:PBR787120 PLN787119:PLN787120 PVJ787119:PVJ787120 QFF787119:QFF787120 QPB787119:QPB787120 QYX787119:QYX787120 RIT787119:RIT787120 RSP787119:RSP787120 SCL787119:SCL787120 SMH787119:SMH787120 SWD787119:SWD787120 TFZ787119:TFZ787120 TPV787119:TPV787120 TZR787119:TZR787120 UJN787119:UJN787120 UTJ787119:UTJ787120 VDF787119:VDF787120 VNB787119:VNB787120 VWX787119:VWX787120 WGT787119:WGT787120 WQP787119:WQP787120 ED852655:ED852656 NZ852655:NZ852656 XV852655:XV852656 AHR852655:AHR852656 ARN852655:ARN852656 BBJ852655:BBJ852656 BLF852655:BLF852656 BVB852655:BVB852656 CEX852655:CEX852656 COT852655:COT852656 CYP852655:CYP852656 DIL852655:DIL852656 DSH852655:DSH852656 ECD852655:ECD852656 ELZ852655:ELZ852656 EVV852655:EVV852656 FFR852655:FFR852656 FPN852655:FPN852656 FZJ852655:FZJ852656 GJF852655:GJF852656 GTB852655:GTB852656 HCX852655:HCX852656 HMT852655:HMT852656 HWP852655:HWP852656 IGL852655:IGL852656 IQH852655:IQH852656 JAD852655:JAD852656 JJZ852655:JJZ852656 JTV852655:JTV852656 KDR852655:KDR852656 KNN852655:KNN852656 KXJ852655:KXJ852656 LHF852655:LHF852656 LRB852655:LRB852656 MAX852655:MAX852656 MKT852655:MKT852656 MUP852655:MUP852656 NEL852655:NEL852656 NOH852655:NOH852656 NYD852655:NYD852656 OHZ852655:OHZ852656 ORV852655:ORV852656 PBR852655:PBR852656 PLN852655:PLN852656 PVJ852655:PVJ852656 QFF852655:QFF852656 QPB852655:QPB852656 QYX852655:QYX852656 RIT852655:RIT852656 RSP852655:RSP852656 SCL852655:SCL852656 SMH852655:SMH852656 SWD852655:SWD852656 TFZ852655:TFZ852656 TPV852655:TPV852656 TZR852655:TZR852656 UJN852655:UJN852656 UTJ852655:UTJ852656 VDF852655:VDF852656 VNB852655:VNB852656 VWX852655:VWX852656 WGT852655:WGT852656 WQP852655:WQP852656 ED918191:ED918192 NZ918191:NZ918192 XV918191:XV918192 AHR918191:AHR918192 ARN918191:ARN918192 BBJ918191:BBJ918192 BLF918191:BLF918192 BVB918191:BVB918192 CEX918191:CEX918192 COT918191:COT918192 CYP918191:CYP918192 DIL918191:DIL918192 DSH918191:DSH918192 ECD918191:ECD918192 ELZ918191:ELZ918192 EVV918191:EVV918192 FFR918191:FFR918192 FPN918191:FPN918192 FZJ918191:FZJ918192 GJF918191:GJF918192 GTB918191:GTB918192 HCX918191:HCX918192 HMT918191:HMT918192 HWP918191:HWP918192 IGL918191:IGL918192 IQH918191:IQH918192 JAD918191:JAD918192 JJZ918191:JJZ918192 JTV918191:JTV918192 KDR918191:KDR918192 KNN918191:KNN918192 KXJ918191:KXJ918192 LHF918191:LHF918192 LRB918191:LRB918192 MAX918191:MAX918192 MKT918191:MKT918192 MUP918191:MUP918192 NEL918191:NEL918192 NOH918191:NOH918192 NYD918191:NYD918192 OHZ918191:OHZ918192 ORV918191:ORV918192 PBR918191:PBR918192 PLN918191:PLN918192 PVJ918191:PVJ918192 QFF918191:QFF918192 QPB918191:QPB918192 QYX918191:QYX918192 RIT918191:RIT918192 RSP918191:RSP918192 SCL918191:SCL918192 SMH918191:SMH918192 SWD918191:SWD918192 TFZ918191:TFZ918192 TPV918191:TPV918192 TZR918191:TZR918192 UJN918191:UJN918192 UTJ918191:UTJ918192 VDF918191:VDF918192 VNB918191:VNB918192 VWX918191:VWX918192 WGT918191:WGT918192 WQP918191:WQP918192 ED983727:ED983728 NZ983727:NZ983728 XV983727:XV983728 AHR983727:AHR983728 ARN983727:ARN983728 BBJ983727:BBJ983728 BLF983727:BLF983728 BVB983727:BVB983728 CEX983727:CEX983728 COT983727:COT983728 CYP983727:CYP983728 DIL983727:DIL983728 DSH983727:DSH983728 ECD983727:ECD983728 ELZ983727:ELZ983728 EVV983727:EVV983728 FFR983727:FFR983728 FPN983727:FPN983728 FZJ983727:FZJ983728 GJF983727:GJF983728 GTB983727:GTB983728 HCX983727:HCX983728 HMT983727:HMT983728 HWP983727:HWP983728 IGL983727:IGL983728 IQH983727:IQH983728 JAD983727:JAD983728 JJZ983727:JJZ983728 JTV983727:JTV983728 KDR983727:KDR983728 KNN983727:KNN983728 KXJ983727:KXJ983728 LHF983727:LHF983728 LRB983727:LRB983728 MAX983727:MAX983728 MKT983727:MKT983728 MUP983727:MUP983728 NEL983727:NEL983728 NOH983727:NOH983728 NYD983727:NYD983728 OHZ983727:OHZ983728 ORV983727:ORV983728 PBR983727:PBR983728 PLN983727:PLN983728 PVJ983727:PVJ983728 QFF983727:QFF983728 QPB983727:QPB983728 QYX983727:QYX983728 RIT983727:RIT983728 RSP983727:RSP983728 SCL983727:SCL983728 SMH983727:SMH983728 SWD983727:SWD983728 TFZ983727:TFZ983728 TPV983727:TPV983728 TZR983727:TZR983728 UJN983727:UJN983728 UTJ983727:UTJ983728 VDF983727:VDF983728 VNB983727:VNB983728 VWX983727:VWX983728 WGT983727:WGT983728 WQP983727:WQP983728 WQP983781 ED66234:ED66244 NZ66234:NZ66244 XV66234:XV66244 AHR66234:AHR66244 ARN66234:ARN66244 BBJ66234:BBJ66244 BLF66234:BLF66244 BVB66234:BVB66244 CEX66234:CEX66244 COT66234:COT66244 CYP66234:CYP66244 DIL66234:DIL66244 DSH66234:DSH66244 ECD66234:ECD66244 ELZ66234:ELZ66244 EVV66234:EVV66244 FFR66234:FFR66244 FPN66234:FPN66244 FZJ66234:FZJ66244 GJF66234:GJF66244 GTB66234:GTB66244 HCX66234:HCX66244 HMT66234:HMT66244 HWP66234:HWP66244 IGL66234:IGL66244 IQH66234:IQH66244 JAD66234:JAD66244 JJZ66234:JJZ66244 JTV66234:JTV66244 KDR66234:KDR66244 KNN66234:KNN66244 KXJ66234:KXJ66244 LHF66234:LHF66244 LRB66234:LRB66244 MAX66234:MAX66244 MKT66234:MKT66244 MUP66234:MUP66244 NEL66234:NEL66244 NOH66234:NOH66244 NYD66234:NYD66244 OHZ66234:OHZ66244 ORV66234:ORV66244 PBR66234:PBR66244 PLN66234:PLN66244 PVJ66234:PVJ66244 QFF66234:QFF66244 QPB66234:QPB66244 QYX66234:QYX66244 RIT66234:RIT66244 RSP66234:RSP66244 SCL66234:SCL66244 SMH66234:SMH66244 SWD66234:SWD66244 TFZ66234:TFZ66244 TPV66234:TPV66244 TZR66234:TZR66244 UJN66234:UJN66244 UTJ66234:UTJ66244 VDF66234:VDF66244 VNB66234:VNB66244 VWX66234:VWX66244 WGT66234:WGT66244 WQP66234:WQP66244 ED131770:ED131780 NZ131770:NZ131780 XV131770:XV131780 AHR131770:AHR131780 ARN131770:ARN131780 BBJ131770:BBJ131780 BLF131770:BLF131780 BVB131770:BVB131780 CEX131770:CEX131780 COT131770:COT131780 CYP131770:CYP131780 DIL131770:DIL131780 DSH131770:DSH131780 ECD131770:ECD131780 ELZ131770:ELZ131780 EVV131770:EVV131780 FFR131770:FFR131780 FPN131770:FPN131780 FZJ131770:FZJ131780 GJF131770:GJF131780 GTB131770:GTB131780 HCX131770:HCX131780 HMT131770:HMT131780 HWP131770:HWP131780 IGL131770:IGL131780 IQH131770:IQH131780 JAD131770:JAD131780 JJZ131770:JJZ131780 JTV131770:JTV131780 KDR131770:KDR131780 KNN131770:KNN131780 KXJ131770:KXJ131780 LHF131770:LHF131780 LRB131770:LRB131780 MAX131770:MAX131780 MKT131770:MKT131780 MUP131770:MUP131780 NEL131770:NEL131780 NOH131770:NOH131780 NYD131770:NYD131780 OHZ131770:OHZ131780 ORV131770:ORV131780 PBR131770:PBR131780 PLN131770:PLN131780 PVJ131770:PVJ131780 QFF131770:QFF131780 QPB131770:QPB131780 QYX131770:QYX131780 RIT131770:RIT131780 RSP131770:RSP131780 SCL131770:SCL131780 SMH131770:SMH131780 SWD131770:SWD131780 TFZ131770:TFZ131780 TPV131770:TPV131780 TZR131770:TZR131780 UJN131770:UJN131780 UTJ131770:UTJ131780 VDF131770:VDF131780 VNB131770:VNB131780 VWX131770:VWX131780 WGT131770:WGT131780 WQP131770:WQP131780 ED197306:ED197316 NZ197306:NZ197316 XV197306:XV197316 AHR197306:AHR197316 ARN197306:ARN197316 BBJ197306:BBJ197316 BLF197306:BLF197316 BVB197306:BVB197316 CEX197306:CEX197316 COT197306:COT197316 CYP197306:CYP197316 DIL197306:DIL197316 DSH197306:DSH197316 ECD197306:ECD197316 ELZ197306:ELZ197316 EVV197306:EVV197316 FFR197306:FFR197316 FPN197306:FPN197316 FZJ197306:FZJ197316 GJF197306:GJF197316 GTB197306:GTB197316 HCX197306:HCX197316 HMT197306:HMT197316 HWP197306:HWP197316 IGL197306:IGL197316 IQH197306:IQH197316 JAD197306:JAD197316 JJZ197306:JJZ197316 JTV197306:JTV197316 KDR197306:KDR197316 KNN197306:KNN197316 KXJ197306:KXJ197316 LHF197306:LHF197316 LRB197306:LRB197316 MAX197306:MAX197316 MKT197306:MKT197316 MUP197306:MUP197316 NEL197306:NEL197316 NOH197306:NOH197316 NYD197306:NYD197316 OHZ197306:OHZ197316 ORV197306:ORV197316 PBR197306:PBR197316 PLN197306:PLN197316 PVJ197306:PVJ197316 QFF197306:QFF197316 QPB197306:QPB197316 QYX197306:QYX197316 RIT197306:RIT197316 RSP197306:RSP197316 SCL197306:SCL197316 SMH197306:SMH197316 SWD197306:SWD197316 TFZ197306:TFZ197316 TPV197306:TPV197316 TZR197306:TZR197316 UJN197306:UJN197316 UTJ197306:UTJ197316 VDF197306:VDF197316 VNB197306:VNB197316 VWX197306:VWX197316 WGT197306:WGT197316 WQP197306:WQP197316 ED262842:ED262852 NZ262842:NZ262852 XV262842:XV262852 AHR262842:AHR262852 ARN262842:ARN262852 BBJ262842:BBJ262852 BLF262842:BLF262852 BVB262842:BVB262852 CEX262842:CEX262852 COT262842:COT262852 CYP262842:CYP262852 DIL262842:DIL262852 DSH262842:DSH262852 ECD262842:ECD262852 ELZ262842:ELZ262852 EVV262842:EVV262852 FFR262842:FFR262852 FPN262842:FPN262852 FZJ262842:FZJ262852 GJF262842:GJF262852 GTB262842:GTB262852 HCX262842:HCX262852 HMT262842:HMT262852 HWP262842:HWP262852 IGL262842:IGL262852 IQH262842:IQH262852 JAD262842:JAD262852 JJZ262842:JJZ262852 JTV262842:JTV262852 KDR262842:KDR262852 KNN262842:KNN262852 KXJ262842:KXJ262852 LHF262842:LHF262852 LRB262842:LRB262852 MAX262842:MAX262852 MKT262842:MKT262852 MUP262842:MUP262852 NEL262842:NEL262852 NOH262842:NOH262852 NYD262842:NYD262852 OHZ262842:OHZ262852 ORV262842:ORV262852 PBR262842:PBR262852 PLN262842:PLN262852 PVJ262842:PVJ262852 QFF262842:QFF262852 QPB262842:QPB262852 QYX262842:QYX262852 RIT262842:RIT262852 RSP262842:RSP262852 SCL262842:SCL262852 SMH262842:SMH262852 SWD262842:SWD262852 TFZ262842:TFZ262852 TPV262842:TPV262852 TZR262842:TZR262852 UJN262842:UJN262852 UTJ262842:UTJ262852 VDF262842:VDF262852 VNB262842:VNB262852 VWX262842:VWX262852 WGT262842:WGT262852 WQP262842:WQP262852 ED328378:ED328388 NZ328378:NZ328388 XV328378:XV328388 AHR328378:AHR328388 ARN328378:ARN328388 BBJ328378:BBJ328388 BLF328378:BLF328388 BVB328378:BVB328388 CEX328378:CEX328388 COT328378:COT328388 CYP328378:CYP328388 DIL328378:DIL328388 DSH328378:DSH328388 ECD328378:ECD328388 ELZ328378:ELZ328388 EVV328378:EVV328388 FFR328378:FFR328388 FPN328378:FPN328388 FZJ328378:FZJ328388 GJF328378:GJF328388 GTB328378:GTB328388 HCX328378:HCX328388 HMT328378:HMT328388 HWP328378:HWP328388 IGL328378:IGL328388 IQH328378:IQH328388 JAD328378:JAD328388 JJZ328378:JJZ328388 JTV328378:JTV328388 KDR328378:KDR328388 KNN328378:KNN328388 KXJ328378:KXJ328388 LHF328378:LHF328388 LRB328378:LRB328388 MAX328378:MAX328388 MKT328378:MKT328388 MUP328378:MUP328388 NEL328378:NEL328388 NOH328378:NOH328388 NYD328378:NYD328388 OHZ328378:OHZ328388 ORV328378:ORV328388 PBR328378:PBR328388 PLN328378:PLN328388 PVJ328378:PVJ328388 QFF328378:QFF328388 QPB328378:QPB328388 QYX328378:QYX328388 RIT328378:RIT328388 RSP328378:RSP328388 SCL328378:SCL328388 SMH328378:SMH328388 SWD328378:SWD328388 TFZ328378:TFZ328388 TPV328378:TPV328388 TZR328378:TZR328388 UJN328378:UJN328388 UTJ328378:UTJ328388 VDF328378:VDF328388 VNB328378:VNB328388 VWX328378:VWX328388 WGT328378:WGT328388 WQP328378:WQP328388 ED393914:ED393924 NZ393914:NZ393924 XV393914:XV393924 AHR393914:AHR393924 ARN393914:ARN393924 BBJ393914:BBJ393924 BLF393914:BLF393924 BVB393914:BVB393924 CEX393914:CEX393924 COT393914:COT393924 CYP393914:CYP393924 DIL393914:DIL393924 DSH393914:DSH393924 ECD393914:ECD393924 ELZ393914:ELZ393924 EVV393914:EVV393924 FFR393914:FFR393924 FPN393914:FPN393924 FZJ393914:FZJ393924 GJF393914:GJF393924 GTB393914:GTB393924 HCX393914:HCX393924 HMT393914:HMT393924 HWP393914:HWP393924 IGL393914:IGL393924 IQH393914:IQH393924 JAD393914:JAD393924 JJZ393914:JJZ393924 JTV393914:JTV393924 KDR393914:KDR393924 KNN393914:KNN393924 KXJ393914:KXJ393924 LHF393914:LHF393924 LRB393914:LRB393924 MAX393914:MAX393924 MKT393914:MKT393924 MUP393914:MUP393924 NEL393914:NEL393924 NOH393914:NOH393924 NYD393914:NYD393924 OHZ393914:OHZ393924 ORV393914:ORV393924 PBR393914:PBR393924 PLN393914:PLN393924 PVJ393914:PVJ393924 QFF393914:QFF393924 QPB393914:QPB393924 QYX393914:QYX393924 RIT393914:RIT393924 RSP393914:RSP393924 SCL393914:SCL393924 SMH393914:SMH393924 SWD393914:SWD393924 TFZ393914:TFZ393924 TPV393914:TPV393924 TZR393914:TZR393924 UJN393914:UJN393924 UTJ393914:UTJ393924 VDF393914:VDF393924 VNB393914:VNB393924 VWX393914:VWX393924 WGT393914:WGT393924 WQP393914:WQP393924 ED459450:ED459460 NZ459450:NZ459460 XV459450:XV459460 AHR459450:AHR459460 ARN459450:ARN459460 BBJ459450:BBJ459460 BLF459450:BLF459460 BVB459450:BVB459460 CEX459450:CEX459460 COT459450:COT459460 CYP459450:CYP459460 DIL459450:DIL459460 DSH459450:DSH459460 ECD459450:ECD459460 ELZ459450:ELZ459460 EVV459450:EVV459460 FFR459450:FFR459460 FPN459450:FPN459460 FZJ459450:FZJ459460 GJF459450:GJF459460 GTB459450:GTB459460 HCX459450:HCX459460 HMT459450:HMT459460 HWP459450:HWP459460 IGL459450:IGL459460 IQH459450:IQH459460 JAD459450:JAD459460 JJZ459450:JJZ459460 JTV459450:JTV459460 KDR459450:KDR459460 KNN459450:KNN459460 KXJ459450:KXJ459460 LHF459450:LHF459460 LRB459450:LRB459460 MAX459450:MAX459460 MKT459450:MKT459460 MUP459450:MUP459460 NEL459450:NEL459460 NOH459450:NOH459460 NYD459450:NYD459460 OHZ459450:OHZ459460 ORV459450:ORV459460 PBR459450:PBR459460 PLN459450:PLN459460 PVJ459450:PVJ459460 QFF459450:QFF459460 QPB459450:QPB459460 QYX459450:QYX459460 RIT459450:RIT459460 RSP459450:RSP459460 SCL459450:SCL459460 SMH459450:SMH459460 SWD459450:SWD459460 TFZ459450:TFZ459460 TPV459450:TPV459460 TZR459450:TZR459460 UJN459450:UJN459460 UTJ459450:UTJ459460 VDF459450:VDF459460 VNB459450:VNB459460 VWX459450:VWX459460 WGT459450:WGT459460 WQP459450:WQP459460 ED524986:ED524996 NZ524986:NZ524996 XV524986:XV524996 AHR524986:AHR524996 ARN524986:ARN524996 BBJ524986:BBJ524996 BLF524986:BLF524996 BVB524986:BVB524996 CEX524986:CEX524996 COT524986:COT524996 CYP524986:CYP524996 DIL524986:DIL524996 DSH524986:DSH524996 ECD524986:ECD524996 ELZ524986:ELZ524996 EVV524986:EVV524996 FFR524986:FFR524996 FPN524986:FPN524996 FZJ524986:FZJ524996 GJF524986:GJF524996 GTB524986:GTB524996 HCX524986:HCX524996 HMT524986:HMT524996 HWP524986:HWP524996 IGL524986:IGL524996 IQH524986:IQH524996 JAD524986:JAD524996 JJZ524986:JJZ524996 JTV524986:JTV524996 KDR524986:KDR524996 KNN524986:KNN524996 KXJ524986:KXJ524996 LHF524986:LHF524996 LRB524986:LRB524996 MAX524986:MAX524996 MKT524986:MKT524996 MUP524986:MUP524996 NEL524986:NEL524996 NOH524986:NOH524996 NYD524986:NYD524996 OHZ524986:OHZ524996 ORV524986:ORV524996 PBR524986:PBR524996 PLN524986:PLN524996 PVJ524986:PVJ524996 QFF524986:QFF524996 QPB524986:QPB524996 QYX524986:QYX524996 RIT524986:RIT524996 RSP524986:RSP524996 SCL524986:SCL524996 SMH524986:SMH524996 SWD524986:SWD524996 TFZ524986:TFZ524996 TPV524986:TPV524996 TZR524986:TZR524996 UJN524986:UJN524996 UTJ524986:UTJ524996 VDF524986:VDF524996 VNB524986:VNB524996 VWX524986:VWX524996 WGT524986:WGT524996 WQP524986:WQP524996 ED590522:ED590532 NZ590522:NZ590532 XV590522:XV590532 AHR590522:AHR590532 ARN590522:ARN590532 BBJ590522:BBJ590532 BLF590522:BLF590532 BVB590522:BVB590532 CEX590522:CEX590532 COT590522:COT590532 CYP590522:CYP590532 DIL590522:DIL590532 DSH590522:DSH590532 ECD590522:ECD590532 ELZ590522:ELZ590532 EVV590522:EVV590532 FFR590522:FFR590532 FPN590522:FPN590532 FZJ590522:FZJ590532 GJF590522:GJF590532 GTB590522:GTB590532 HCX590522:HCX590532 HMT590522:HMT590532 HWP590522:HWP590532 IGL590522:IGL590532 IQH590522:IQH590532 JAD590522:JAD590532 JJZ590522:JJZ590532 JTV590522:JTV590532 KDR590522:KDR590532 KNN590522:KNN590532 KXJ590522:KXJ590532 LHF590522:LHF590532 LRB590522:LRB590532 MAX590522:MAX590532 MKT590522:MKT590532 MUP590522:MUP590532 NEL590522:NEL590532 NOH590522:NOH590532 NYD590522:NYD590532 OHZ590522:OHZ590532 ORV590522:ORV590532 PBR590522:PBR590532 PLN590522:PLN590532 PVJ590522:PVJ590532 QFF590522:QFF590532 QPB590522:QPB590532 QYX590522:QYX590532 RIT590522:RIT590532 RSP590522:RSP590532 SCL590522:SCL590532 SMH590522:SMH590532 SWD590522:SWD590532 TFZ590522:TFZ590532 TPV590522:TPV590532 TZR590522:TZR590532 UJN590522:UJN590532 UTJ590522:UTJ590532 VDF590522:VDF590532 VNB590522:VNB590532 VWX590522:VWX590532 WGT590522:WGT590532 WQP590522:WQP590532 ED656058:ED656068 NZ656058:NZ656068 XV656058:XV656068 AHR656058:AHR656068 ARN656058:ARN656068 BBJ656058:BBJ656068 BLF656058:BLF656068 BVB656058:BVB656068 CEX656058:CEX656068 COT656058:COT656068 CYP656058:CYP656068 DIL656058:DIL656068 DSH656058:DSH656068 ECD656058:ECD656068 ELZ656058:ELZ656068 EVV656058:EVV656068 FFR656058:FFR656068 FPN656058:FPN656068 FZJ656058:FZJ656068 GJF656058:GJF656068 GTB656058:GTB656068 HCX656058:HCX656068 HMT656058:HMT656068 HWP656058:HWP656068 IGL656058:IGL656068 IQH656058:IQH656068 JAD656058:JAD656068 JJZ656058:JJZ656068 JTV656058:JTV656068 KDR656058:KDR656068 KNN656058:KNN656068 KXJ656058:KXJ656068 LHF656058:LHF656068 LRB656058:LRB656068 MAX656058:MAX656068 MKT656058:MKT656068 MUP656058:MUP656068 NEL656058:NEL656068 NOH656058:NOH656068 NYD656058:NYD656068 OHZ656058:OHZ656068 ORV656058:ORV656068 PBR656058:PBR656068 PLN656058:PLN656068 PVJ656058:PVJ656068 QFF656058:QFF656068 QPB656058:QPB656068 QYX656058:QYX656068 RIT656058:RIT656068 RSP656058:RSP656068 SCL656058:SCL656068 SMH656058:SMH656068 SWD656058:SWD656068 TFZ656058:TFZ656068 TPV656058:TPV656068 TZR656058:TZR656068 UJN656058:UJN656068 UTJ656058:UTJ656068 VDF656058:VDF656068 VNB656058:VNB656068 VWX656058:VWX656068 WGT656058:WGT656068 WQP656058:WQP656068 ED721594:ED721604 NZ721594:NZ721604 XV721594:XV721604 AHR721594:AHR721604 ARN721594:ARN721604 BBJ721594:BBJ721604 BLF721594:BLF721604 BVB721594:BVB721604 CEX721594:CEX721604 COT721594:COT721604 CYP721594:CYP721604 DIL721594:DIL721604 DSH721594:DSH721604 ECD721594:ECD721604 ELZ721594:ELZ721604 EVV721594:EVV721604 FFR721594:FFR721604 FPN721594:FPN721604 FZJ721594:FZJ721604 GJF721594:GJF721604 GTB721594:GTB721604 HCX721594:HCX721604 HMT721594:HMT721604 HWP721594:HWP721604 IGL721594:IGL721604 IQH721594:IQH721604 JAD721594:JAD721604 JJZ721594:JJZ721604 JTV721594:JTV721604 KDR721594:KDR721604 KNN721594:KNN721604 KXJ721594:KXJ721604 LHF721594:LHF721604 LRB721594:LRB721604 MAX721594:MAX721604 MKT721594:MKT721604 MUP721594:MUP721604 NEL721594:NEL721604 NOH721594:NOH721604 NYD721594:NYD721604 OHZ721594:OHZ721604 ORV721594:ORV721604 PBR721594:PBR721604 PLN721594:PLN721604 PVJ721594:PVJ721604 QFF721594:QFF721604 QPB721594:QPB721604 QYX721594:QYX721604 RIT721594:RIT721604 RSP721594:RSP721604 SCL721594:SCL721604 SMH721594:SMH721604 SWD721594:SWD721604 TFZ721594:TFZ721604 TPV721594:TPV721604 TZR721594:TZR721604 UJN721594:UJN721604 UTJ721594:UTJ721604 VDF721594:VDF721604 VNB721594:VNB721604 VWX721594:VWX721604 WGT721594:WGT721604 WQP721594:WQP721604 ED787130:ED787140 NZ787130:NZ787140 XV787130:XV787140 AHR787130:AHR787140 ARN787130:ARN787140 BBJ787130:BBJ787140 BLF787130:BLF787140 BVB787130:BVB787140 CEX787130:CEX787140 COT787130:COT787140 CYP787130:CYP787140 DIL787130:DIL787140 DSH787130:DSH787140 ECD787130:ECD787140 ELZ787130:ELZ787140 EVV787130:EVV787140 FFR787130:FFR787140 FPN787130:FPN787140 FZJ787130:FZJ787140 GJF787130:GJF787140 GTB787130:GTB787140 HCX787130:HCX787140 HMT787130:HMT787140 HWP787130:HWP787140 IGL787130:IGL787140 IQH787130:IQH787140 JAD787130:JAD787140 JJZ787130:JJZ787140 JTV787130:JTV787140 KDR787130:KDR787140 KNN787130:KNN787140 KXJ787130:KXJ787140 LHF787130:LHF787140 LRB787130:LRB787140 MAX787130:MAX787140 MKT787130:MKT787140 MUP787130:MUP787140 NEL787130:NEL787140 NOH787130:NOH787140 NYD787130:NYD787140 OHZ787130:OHZ787140 ORV787130:ORV787140 PBR787130:PBR787140 PLN787130:PLN787140 PVJ787130:PVJ787140 QFF787130:QFF787140 QPB787130:QPB787140 QYX787130:QYX787140 RIT787130:RIT787140 RSP787130:RSP787140 SCL787130:SCL787140 SMH787130:SMH787140 SWD787130:SWD787140 TFZ787130:TFZ787140 TPV787130:TPV787140 TZR787130:TZR787140 UJN787130:UJN787140 UTJ787130:UTJ787140 VDF787130:VDF787140 VNB787130:VNB787140 VWX787130:VWX787140 WGT787130:WGT787140 WQP787130:WQP787140 ED852666:ED852676 NZ852666:NZ852676 XV852666:XV852676 AHR852666:AHR852676 ARN852666:ARN852676 BBJ852666:BBJ852676 BLF852666:BLF852676 BVB852666:BVB852676 CEX852666:CEX852676 COT852666:COT852676 CYP852666:CYP852676 DIL852666:DIL852676 DSH852666:DSH852676 ECD852666:ECD852676 ELZ852666:ELZ852676 EVV852666:EVV852676 FFR852666:FFR852676 FPN852666:FPN852676 FZJ852666:FZJ852676 GJF852666:GJF852676 GTB852666:GTB852676 HCX852666:HCX852676 HMT852666:HMT852676 HWP852666:HWP852676 IGL852666:IGL852676 IQH852666:IQH852676 JAD852666:JAD852676 JJZ852666:JJZ852676 JTV852666:JTV852676 KDR852666:KDR852676 KNN852666:KNN852676 KXJ852666:KXJ852676 LHF852666:LHF852676 LRB852666:LRB852676 MAX852666:MAX852676 MKT852666:MKT852676 MUP852666:MUP852676 NEL852666:NEL852676 NOH852666:NOH852676 NYD852666:NYD852676 OHZ852666:OHZ852676 ORV852666:ORV852676 PBR852666:PBR852676 PLN852666:PLN852676 PVJ852666:PVJ852676 QFF852666:QFF852676 QPB852666:QPB852676 QYX852666:QYX852676 RIT852666:RIT852676 RSP852666:RSP852676 SCL852666:SCL852676 SMH852666:SMH852676 SWD852666:SWD852676 TFZ852666:TFZ852676 TPV852666:TPV852676 TZR852666:TZR852676 UJN852666:UJN852676 UTJ852666:UTJ852676 VDF852666:VDF852676 VNB852666:VNB852676 VWX852666:VWX852676 WGT852666:WGT852676 WQP852666:WQP852676 ED918202:ED918212 NZ918202:NZ918212 XV918202:XV918212 AHR918202:AHR918212 ARN918202:ARN918212 BBJ918202:BBJ918212 BLF918202:BLF918212 BVB918202:BVB918212 CEX918202:CEX918212 COT918202:COT918212 CYP918202:CYP918212 DIL918202:DIL918212 DSH918202:DSH918212 ECD918202:ECD918212 ELZ918202:ELZ918212 EVV918202:EVV918212 FFR918202:FFR918212 FPN918202:FPN918212 FZJ918202:FZJ918212 GJF918202:GJF918212 GTB918202:GTB918212 HCX918202:HCX918212 HMT918202:HMT918212 HWP918202:HWP918212 IGL918202:IGL918212 IQH918202:IQH918212 JAD918202:JAD918212 JJZ918202:JJZ918212 JTV918202:JTV918212 KDR918202:KDR918212 KNN918202:KNN918212 KXJ918202:KXJ918212 LHF918202:LHF918212 LRB918202:LRB918212 MAX918202:MAX918212 MKT918202:MKT918212 MUP918202:MUP918212 NEL918202:NEL918212 NOH918202:NOH918212 NYD918202:NYD918212 OHZ918202:OHZ918212 ORV918202:ORV918212 PBR918202:PBR918212 PLN918202:PLN918212 PVJ918202:PVJ918212 QFF918202:QFF918212 QPB918202:QPB918212 QYX918202:QYX918212 RIT918202:RIT918212 RSP918202:RSP918212 SCL918202:SCL918212 SMH918202:SMH918212 SWD918202:SWD918212 TFZ918202:TFZ918212 TPV918202:TPV918212 TZR918202:TZR918212 UJN918202:UJN918212 UTJ918202:UTJ918212 VDF918202:VDF918212 VNB918202:VNB918212 VWX918202:VWX918212 WGT918202:WGT918212 WQP918202:WQP918212 ED983738:ED983748 NZ983738:NZ983748 XV983738:XV983748 AHR983738:AHR983748 ARN983738:ARN983748 BBJ983738:BBJ983748 BLF983738:BLF983748 BVB983738:BVB983748 CEX983738:CEX983748 COT983738:COT983748 CYP983738:CYP983748 DIL983738:DIL983748 DSH983738:DSH983748 ECD983738:ECD983748 ELZ983738:ELZ983748 EVV983738:EVV983748 FFR983738:FFR983748 FPN983738:FPN983748 FZJ983738:FZJ983748 GJF983738:GJF983748 GTB983738:GTB983748 HCX983738:HCX983748 HMT983738:HMT983748 HWP983738:HWP983748 IGL983738:IGL983748 IQH983738:IQH983748 JAD983738:JAD983748 JJZ983738:JJZ983748 JTV983738:JTV983748 KDR983738:KDR983748 KNN983738:KNN983748 KXJ983738:KXJ983748 LHF983738:LHF983748 LRB983738:LRB983748 MAX983738:MAX983748 MKT983738:MKT983748 MUP983738:MUP983748 NEL983738:NEL983748 NOH983738:NOH983748 NYD983738:NYD983748 OHZ983738:OHZ983748 ORV983738:ORV983748 PBR983738:PBR983748 PLN983738:PLN983748 PVJ983738:PVJ983748 QFF983738:QFF983748 QPB983738:QPB983748 QYX983738:QYX983748 RIT983738:RIT983748 RSP983738:RSP983748 SCL983738:SCL983748 SMH983738:SMH983748 SWD983738:SWD983748 TFZ983738:TFZ983748 TPV983738:TPV983748 TZR983738:TZR983748 UJN983738:UJN983748 UTJ983738:UTJ983748 VDF983738:VDF983748 VNB983738:VNB983748 VWX983738:VWX983748 WGT983738:WGT983748 WQP983738:WQP983748 ED66197:ED66201 NZ66197:NZ66201 XV66197:XV66201 AHR66197:AHR66201 ARN66197:ARN66201 BBJ66197:BBJ66201 BLF66197:BLF66201 BVB66197:BVB66201 CEX66197:CEX66201 COT66197:COT66201 CYP66197:CYP66201 DIL66197:DIL66201 DSH66197:DSH66201 ECD66197:ECD66201 ELZ66197:ELZ66201 EVV66197:EVV66201 FFR66197:FFR66201 FPN66197:FPN66201 FZJ66197:FZJ66201 GJF66197:GJF66201 GTB66197:GTB66201 HCX66197:HCX66201 HMT66197:HMT66201 HWP66197:HWP66201 IGL66197:IGL66201 IQH66197:IQH66201 JAD66197:JAD66201 JJZ66197:JJZ66201 JTV66197:JTV66201 KDR66197:KDR66201 KNN66197:KNN66201 KXJ66197:KXJ66201 LHF66197:LHF66201 LRB66197:LRB66201 MAX66197:MAX66201 MKT66197:MKT66201 MUP66197:MUP66201 NEL66197:NEL66201 NOH66197:NOH66201 NYD66197:NYD66201 OHZ66197:OHZ66201 ORV66197:ORV66201 PBR66197:PBR66201 PLN66197:PLN66201 PVJ66197:PVJ66201 QFF66197:QFF66201 QPB66197:QPB66201 QYX66197:QYX66201 RIT66197:RIT66201 RSP66197:RSP66201 SCL66197:SCL66201 SMH66197:SMH66201 SWD66197:SWD66201 TFZ66197:TFZ66201 TPV66197:TPV66201 TZR66197:TZR66201 UJN66197:UJN66201 UTJ66197:UTJ66201 VDF66197:VDF66201 VNB66197:VNB66201 VWX66197:VWX66201 WGT66197:WGT66201 WQP66197:WQP66201 ED131733:ED131737 NZ131733:NZ131737 XV131733:XV131737 AHR131733:AHR131737 ARN131733:ARN131737 BBJ131733:BBJ131737 BLF131733:BLF131737 BVB131733:BVB131737 CEX131733:CEX131737 COT131733:COT131737 CYP131733:CYP131737 DIL131733:DIL131737 DSH131733:DSH131737 ECD131733:ECD131737 ELZ131733:ELZ131737 EVV131733:EVV131737 FFR131733:FFR131737 FPN131733:FPN131737 FZJ131733:FZJ131737 GJF131733:GJF131737 GTB131733:GTB131737 HCX131733:HCX131737 HMT131733:HMT131737 HWP131733:HWP131737 IGL131733:IGL131737 IQH131733:IQH131737 JAD131733:JAD131737 JJZ131733:JJZ131737 JTV131733:JTV131737 KDR131733:KDR131737 KNN131733:KNN131737 KXJ131733:KXJ131737 LHF131733:LHF131737 LRB131733:LRB131737 MAX131733:MAX131737 MKT131733:MKT131737 MUP131733:MUP131737 NEL131733:NEL131737 NOH131733:NOH131737 NYD131733:NYD131737 OHZ131733:OHZ131737 ORV131733:ORV131737 PBR131733:PBR131737 PLN131733:PLN131737 PVJ131733:PVJ131737 QFF131733:QFF131737 QPB131733:QPB131737 QYX131733:QYX131737 RIT131733:RIT131737 RSP131733:RSP131737 SCL131733:SCL131737 SMH131733:SMH131737 SWD131733:SWD131737 TFZ131733:TFZ131737 TPV131733:TPV131737 TZR131733:TZR131737 UJN131733:UJN131737 UTJ131733:UTJ131737 VDF131733:VDF131737 VNB131733:VNB131737 VWX131733:VWX131737 WGT131733:WGT131737 WQP131733:WQP131737 ED197269:ED197273 NZ197269:NZ197273 XV197269:XV197273 AHR197269:AHR197273 ARN197269:ARN197273 BBJ197269:BBJ197273 BLF197269:BLF197273 BVB197269:BVB197273 CEX197269:CEX197273 COT197269:COT197273 CYP197269:CYP197273 DIL197269:DIL197273 DSH197269:DSH197273 ECD197269:ECD197273 ELZ197269:ELZ197273 EVV197269:EVV197273 FFR197269:FFR197273 FPN197269:FPN197273 FZJ197269:FZJ197273 GJF197269:GJF197273 GTB197269:GTB197273 HCX197269:HCX197273 HMT197269:HMT197273 HWP197269:HWP197273 IGL197269:IGL197273 IQH197269:IQH197273 JAD197269:JAD197273 JJZ197269:JJZ197273 JTV197269:JTV197273 KDR197269:KDR197273 KNN197269:KNN197273 KXJ197269:KXJ197273 LHF197269:LHF197273 LRB197269:LRB197273 MAX197269:MAX197273 MKT197269:MKT197273 MUP197269:MUP197273 NEL197269:NEL197273 NOH197269:NOH197273 NYD197269:NYD197273 OHZ197269:OHZ197273 ORV197269:ORV197273 PBR197269:PBR197273 PLN197269:PLN197273 PVJ197269:PVJ197273 QFF197269:QFF197273 QPB197269:QPB197273 QYX197269:QYX197273 RIT197269:RIT197273 RSP197269:RSP197273 SCL197269:SCL197273 SMH197269:SMH197273 SWD197269:SWD197273 TFZ197269:TFZ197273 TPV197269:TPV197273 TZR197269:TZR197273 UJN197269:UJN197273 UTJ197269:UTJ197273 VDF197269:VDF197273 VNB197269:VNB197273 VWX197269:VWX197273 WGT197269:WGT197273 WQP197269:WQP197273 ED262805:ED262809 NZ262805:NZ262809 XV262805:XV262809 AHR262805:AHR262809 ARN262805:ARN262809 BBJ262805:BBJ262809 BLF262805:BLF262809 BVB262805:BVB262809 CEX262805:CEX262809 COT262805:COT262809 CYP262805:CYP262809 DIL262805:DIL262809 DSH262805:DSH262809 ECD262805:ECD262809 ELZ262805:ELZ262809 EVV262805:EVV262809 FFR262805:FFR262809 FPN262805:FPN262809 FZJ262805:FZJ262809 GJF262805:GJF262809 GTB262805:GTB262809 HCX262805:HCX262809 HMT262805:HMT262809 HWP262805:HWP262809 IGL262805:IGL262809 IQH262805:IQH262809 JAD262805:JAD262809 JJZ262805:JJZ262809 JTV262805:JTV262809 KDR262805:KDR262809 KNN262805:KNN262809 KXJ262805:KXJ262809 LHF262805:LHF262809 LRB262805:LRB262809 MAX262805:MAX262809 MKT262805:MKT262809 MUP262805:MUP262809 NEL262805:NEL262809 NOH262805:NOH262809 NYD262805:NYD262809 OHZ262805:OHZ262809 ORV262805:ORV262809 PBR262805:PBR262809 PLN262805:PLN262809 PVJ262805:PVJ262809 QFF262805:QFF262809 QPB262805:QPB262809 QYX262805:QYX262809 RIT262805:RIT262809 RSP262805:RSP262809 SCL262805:SCL262809 SMH262805:SMH262809 SWD262805:SWD262809 TFZ262805:TFZ262809 TPV262805:TPV262809 TZR262805:TZR262809 UJN262805:UJN262809 UTJ262805:UTJ262809 VDF262805:VDF262809 VNB262805:VNB262809 VWX262805:VWX262809 WGT262805:WGT262809 WQP262805:WQP262809 ED328341:ED328345 NZ328341:NZ328345 XV328341:XV328345 AHR328341:AHR328345 ARN328341:ARN328345 BBJ328341:BBJ328345 BLF328341:BLF328345 BVB328341:BVB328345 CEX328341:CEX328345 COT328341:COT328345 CYP328341:CYP328345 DIL328341:DIL328345 DSH328341:DSH328345 ECD328341:ECD328345 ELZ328341:ELZ328345 EVV328341:EVV328345 FFR328341:FFR328345 FPN328341:FPN328345 FZJ328341:FZJ328345 GJF328341:GJF328345 GTB328341:GTB328345 HCX328341:HCX328345 HMT328341:HMT328345 HWP328341:HWP328345 IGL328341:IGL328345 IQH328341:IQH328345 JAD328341:JAD328345 JJZ328341:JJZ328345 JTV328341:JTV328345 KDR328341:KDR328345 KNN328341:KNN328345 KXJ328341:KXJ328345 LHF328341:LHF328345 LRB328341:LRB328345 MAX328341:MAX328345 MKT328341:MKT328345 MUP328341:MUP328345 NEL328341:NEL328345 NOH328341:NOH328345 NYD328341:NYD328345 OHZ328341:OHZ328345 ORV328341:ORV328345 PBR328341:PBR328345 PLN328341:PLN328345 PVJ328341:PVJ328345 QFF328341:QFF328345 QPB328341:QPB328345 QYX328341:QYX328345 RIT328341:RIT328345 RSP328341:RSP328345 SCL328341:SCL328345 SMH328341:SMH328345 SWD328341:SWD328345 TFZ328341:TFZ328345 TPV328341:TPV328345 TZR328341:TZR328345 UJN328341:UJN328345 UTJ328341:UTJ328345 VDF328341:VDF328345 VNB328341:VNB328345 VWX328341:VWX328345 WGT328341:WGT328345 WQP328341:WQP328345 ED393877:ED393881 NZ393877:NZ393881 XV393877:XV393881 AHR393877:AHR393881 ARN393877:ARN393881 BBJ393877:BBJ393881 BLF393877:BLF393881 BVB393877:BVB393881 CEX393877:CEX393881 COT393877:COT393881 CYP393877:CYP393881 DIL393877:DIL393881 DSH393877:DSH393881 ECD393877:ECD393881 ELZ393877:ELZ393881 EVV393877:EVV393881 FFR393877:FFR393881 FPN393877:FPN393881 FZJ393877:FZJ393881 GJF393877:GJF393881 GTB393877:GTB393881 HCX393877:HCX393881 HMT393877:HMT393881 HWP393877:HWP393881 IGL393877:IGL393881 IQH393877:IQH393881 JAD393877:JAD393881 JJZ393877:JJZ393881 JTV393877:JTV393881 KDR393877:KDR393881 KNN393877:KNN393881 KXJ393877:KXJ393881 LHF393877:LHF393881 LRB393877:LRB393881 MAX393877:MAX393881 MKT393877:MKT393881 MUP393877:MUP393881 NEL393877:NEL393881 NOH393877:NOH393881 NYD393877:NYD393881 OHZ393877:OHZ393881 ORV393877:ORV393881 PBR393877:PBR393881 PLN393877:PLN393881 PVJ393877:PVJ393881 QFF393877:QFF393881 QPB393877:QPB393881 QYX393877:QYX393881 RIT393877:RIT393881 RSP393877:RSP393881 SCL393877:SCL393881 SMH393877:SMH393881 SWD393877:SWD393881 TFZ393877:TFZ393881 TPV393877:TPV393881 TZR393877:TZR393881 UJN393877:UJN393881 UTJ393877:UTJ393881 VDF393877:VDF393881 VNB393877:VNB393881 VWX393877:VWX393881 WGT393877:WGT393881 WQP393877:WQP393881 ED459413:ED459417 NZ459413:NZ459417 XV459413:XV459417 AHR459413:AHR459417 ARN459413:ARN459417 BBJ459413:BBJ459417 BLF459413:BLF459417 BVB459413:BVB459417 CEX459413:CEX459417 COT459413:COT459417 CYP459413:CYP459417 DIL459413:DIL459417 DSH459413:DSH459417 ECD459413:ECD459417 ELZ459413:ELZ459417 EVV459413:EVV459417 FFR459413:FFR459417 FPN459413:FPN459417 FZJ459413:FZJ459417 GJF459413:GJF459417 GTB459413:GTB459417 HCX459413:HCX459417 HMT459413:HMT459417 HWP459413:HWP459417 IGL459413:IGL459417 IQH459413:IQH459417 JAD459413:JAD459417 JJZ459413:JJZ459417 JTV459413:JTV459417 KDR459413:KDR459417 KNN459413:KNN459417 KXJ459413:KXJ459417 LHF459413:LHF459417 LRB459413:LRB459417 MAX459413:MAX459417 MKT459413:MKT459417 MUP459413:MUP459417 NEL459413:NEL459417 NOH459413:NOH459417 NYD459413:NYD459417 OHZ459413:OHZ459417 ORV459413:ORV459417 PBR459413:PBR459417 PLN459413:PLN459417 PVJ459413:PVJ459417 QFF459413:QFF459417 QPB459413:QPB459417 QYX459413:QYX459417 RIT459413:RIT459417 RSP459413:RSP459417 SCL459413:SCL459417 SMH459413:SMH459417 SWD459413:SWD459417 TFZ459413:TFZ459417 TPV459413:TPV459417 TZR459413:TZR459417 UJN459413:UJN459417 UTJ459413:UTJ459417 VDF459413:VDF459417 VNB459413:VNB459417 VWX459413:VWX459417 WGT459413:WGT459417 WQP459413:WQP459417 ED524949:ED524953 NZ524949:NZ524953 XV524949:XV524953 AHR524949:AHR524953 ARN524949:ARN524953 BBJ524949:BBJ524953 BLF524949:BLF524953 BVB524949:BVB524953 CEX524949:CEX524953 COT524949:COT524953 CYP524949:CYP524953 DIL524949:DIL524953 DSH524949:DSH524953 ECD524949:ECD524953 ELZ524949:ELZ524953 EVV524949:EVV524953 FFR524949:FFR524953 FPN524949:FPN524953 FZJ524949:FZJ524953 GJF524949:GJF524953 GTB524949:GTB524953 HCX524949:HCX524953 HMT524949:HMT524953 HWP524949:HWP524953 IGL524949:IGL524953 IQH524949:IQH524953 JAD524949:JAD524953 JJZ524949:JJZ524953 JTV524949:JTV524953 KDR524949:KDR524953 KNN524949:KNN524953 KXJ524949:KXJ524953 LHF524949:LHF524953 LRB524949:LRB524953 MAX524949:MAX524953 MKT524949:MKT524953 MUP524949:MUP524953 NEL524949:NEL524953 NOH524949:NOH524953 NYD524949:NYD524953 OHZ524949:OHZ524953 ORV524949:ORV524953 PBR524949:PBR524953 PLN524949:PLN524953 PVJ524949:PVJ524953 QFF524949:QFF524953 QPB524949:QPB524953 QYX524949:QYX524953 RIT524949:RIT524953 RSP524949:RSP524953 SCL524949:SCL524953 SMH524949:SMH524953 SWD524949:SWD524953 TFZ524949:TFZ524953 TPV524949:TPV524953 TZR524949:TZR524953 UJN524949:UJN524953 UTJ524949:UTJ524953 VDF524949:VDF524953 VNB524949:VNB524953 VWX524949:VWX524953 WGT524949:WGT524953 WQP524949:WQP524953 ED590485:ED590489 NZ590485:NZ590489 XV590485:XV590489 AHR590485:AHR590489 ARN590485:ARN590489 BBJ590485:BBJ590489 BLF590485:BLF590489 BVB590485:BVB590489 CEX590485:CEX590489 COT590485:COT590489 CYP590485:CYP590489 DIL590485:DIL590489 DSH590485:DSH590489 ECD590485:ECD590489 ELZ590485:ELZ590489 EVV590485:EVV590489 FFR590485:FFR590489 FPN590485:FPN590489 FZJ590485:FZJ590489 GJF590485:GJF590489 GTB590485:GTB590489 HCX590485:HCX590489 HMT590485:HMT590489 HWP590485:HWP590489 IGL590485:IGL590489 IQH590485:IQH590489 JAD590485:JAD590489 JJZ590485:JJZ590489 JTV590485:JTV590489 KDR590485:KDR590489 KNN590485:KNN590489 KXJ590485:KXJ590489 LHF590485:LHF590489 LRB590485:LRB590489 MAX590485:MAX590489 MKT590485:MKT590489 MUP590485:MUP590489 NEL590485:NEL590489 NOH590485:NOH590489 NYD590485:NYD590489 OHZ590485:OHZ590489 ORV590485:ORV590489 PBR590485:PBR590489 PLN590485:PLN590489 PVJ590485:PVJ590489 QFF590485:QFF590489 QPB590485:QPB590489 QYX590485:QYX590489 RIT590485:RIT590489 RSP590485:RSP590489 SCL590485:SCL590489 SMH590485:SMH590489 SWD590485:SWD590489 TFZ590485:TFZ590489 TPV590485:TPV590489 TZR590485:TZR590489 UJN590485:UJN590489 UTJ590485:UTJ590489 VDF590485:VDF590489 VNB590485:VNB590489 VWX590485:VWX590489 WGT590485:WGT590489 WQP590485:WQP590489 ED656021:ED656025 NZ656021:NZ656025 XV656021:XV656025 AHR656021:AHR656025 ARN656021:ARN656025 BBJ656021:BBJ656025 BLF656021:BLF656025 BVB656021:BVB656025 CEX656021:CEX656025 COT656021:COT656025 CYP656021:CYP656025 DIL656021:DIL656025 DSH656021:DSH656025 ECD656021:ECD656025 ELZ656021:ELZ656025 EVV656021:EVV656025 FFR656021:FFR656025 FPN656021:FPN656025 FZJ656021:FZJ656025 GJF656021:GJF656025 GTB656021:GTB656025 HCX656021:HCX656025 HMT656021:HMT656025 HWP656021:HWP656025 IGL656021:IGL656025 IQH656021:IQH656025 JAD656021:JAD656025 JJZ656021:JJZ656025 JTV656021:JTV656025 KDR656021:KDR656025 KNN656021:KNN656025 KXJ656021:KXJ656025 LHF656021:LHF656025 LRB656021:LRB656025 MAX656021:MAX656025 MKT656021:MKT656025 MUP656021:MUP656025 NEL656021:NEL656025 NOH656021:NOH656025 NYD656021:NYD656025 OHZ656021:OHZ656025 ORV656021:ORV656025 PBR656021:PBR656025 PLN656021:PLN656025 PVJ656021:PVJ656025 QFF656021:QFF656025 QPB656021:QPB656025 QYX656021:QYX656025 RIT656021:RIT656025 RSP656021:RSP656025 SCL656021:SCL656025 SMH656021:SMH656025 SWD656021:SWD656025 TFZ656021:TFZ656025 TPV656021:TPV656025 TZR656021:TZR656025 UJN656021:UJN656025 UTJ656021:UTJ656025 VDF656021:VDF656025 VNB656021:VNB656025 VWX656021:VWX656025 WGT656021:WGT656025 WQP656021:WQP656025 ED721557:ED721561 NZ721557:NZ721561 XV721557:XV721561 AHR721557:AHR721561 ARN721557:ARN721561 BBJ721557:BBJ721561 BLF721557:BLF721561 BVB721557:BVB721561 CEX721557:CEX721561 COT721557:COT721561 CYP721557:CYP721561 DIL721557:DIL721561 DSH721557:DSH721561 ECD721557:ECD721561 ELZ721557:ELZ721561 EVV721557:EVV721561 FFR721557:FFR721561 FPN721557:FPN721561 FZJ721557:FZJ721561 GJF721557:GJF721561 GTB721557:GTB721561 HCX721557:HCX721561 HMT721557:HMT721561 HWP721557:HWP721561 IGL721557:IGL721561 IQH721557:IQH721561 JAD721557:JAD721561 JJZ721557:JJZ721561 JTV721557:JTV721561 KDR721557:KDR721561 KNN721557:KNN721561 KXJ721557:KXJ721561 LHF721557:LHF721561 LRB721557:LRB721561 MAX721557:MAX721561 MKT721557:MKT721561 MUP721557:MUP721561 NEL721557:NEL721561 NOH721557:NOH721561 NYD721557:NYD721561 OHZ721557:OHZ721561 ORV721557:ORV721561 PBR721557:PBR721561 PLN721557:PLN721561 PVJ721557:PVJ721561 QFF721557:QFF721561 QPB721557:QPB721561 QYX721557:QYX721561 RIT721557:RIT721561 RSP721557:RSP721561 SCL721557:SCL721561 SMH721557:SMH721561 SWD721557:SWD721561 TFZ721557:TFZ721561 TPV721557:TPV721561 TZR721557:TZR721561 UJN721557:UJN721561 UTJ721557:UTJ721561 VDF721557:VDF721561 VNB721557:VNB721561 VWX721557:VWX721561 WGT721557:WGT721561 WQP721557:WQP721561 ED787093:ED787097 NZ787093:NZ787097 XV787093:XV787097 AHR787093:AHR787097 ARN787093:ARN787097 BBJ787093:BBJ787097 BLF787093:BLF787097 BVB787093:BVB787097 CEX787093:CEX787097 COT787093:COT787097 CYP787093:CYP787097 DIL787093:DIL787097 DSH787093:DSH787097 ECD787093:ECD787097 ELZ787093:ELZ787097 EVV787093:EVV787097 FFR787093:FFR787097 FPN787093:FPN787097 FZJ787093:FZJ787097 GJF787093:GJF787097 GTB787093:GTB787097 HCX787093:HCX787097 HMT787093:HMT787097 HWP787093:HWP787097 IGL787093:IGL787097 IQH787093:IQH787097 JAD787093:JAD787097 JJZ787093:JJZ787097 JTV787093:JTV787097 KDR787093:KDR787097 KNN787093:KNN787097 KXJ787093:KXJ787097 LHF787093:LHF787097 LRB787093:LRB787097 MAX787093:MAX787097 MKT787093:MKT787097 MUP787093:MUP787097 NEL787093:NEL787097 NOH787093:NOH787097 NYD787093:NYD787097 OHZ787093:OHZ787097 ORV787093:ORV787097 PBR787093:PBR787097 PLN787093:PLN787097 PVJ787093:PVJ787097 QFF787093:QFF787097 QPB787093:QPB787097 QYX787093:QYX787097 RIT787093:RIT787097 RSP787093:RSP787097 SCL787093:SCL787097 SMH787093:SMH787097 SWD787093:SWD787097 TFZ787093:TFZ787097 TPV787093:TPV787097 TZR787093:TZR787097 UJN787093:UJN787097 UTJ787093:UTJ787097 VDF787093:VDF787097 VNB787093:VNB787097 VWX787093:VWX787097 WGT787093:WGT787097 WQP787093:WQP787097 ED852629:ED852633 NZ852629:NZ852633 XV852629:XV852633 AHR852629:AHR852633 ARN852629:ARN852633 BBJ852629:BBJ852633 BLF852629:BLF852633 BVB852629:BVB852633 CEX852629:CEX852633 COT852629:COT852633 CYP852629:CYP852633 DIL852629:DIL852633 DSH852629:DSH852633 ECD852629:ECD852633 ELZ852629:ELZ852633 EVV852629:EVV852633 FFR852629:FFR852633 FPN852629:FPN852633 FZJ852629:FZJ852633 GJF852629:GJF852633 GTB852629:GTB852633 HCX852629:HCX852633 HMT852629:HMT852633 HWP852629:HWP852633 IGL852629:IGL852633 IQH852629:IQH852633 JAD852629:JAD852633 JJZ852629:JJZ852633 JTV852629:JTV852633 KDR852629:KDR852633 KNN852629:KNN852633 KXJ852629:KXJ852633 LHF852629:LHF852633 LRB852629:LRB852633 MAX852629:MAX852633 MKT852629:MKT852633 MUP852629:MUP852633 NEL852629:NEL852633 NOH852629:NOH852633 NYD852629:NYD852633 OHZ852629:OHZ852633 ORV852629:ORV852633 PBR852629:PBR852633 PLN852629:PLN852633 PVJ852629:PVJ852633 QFF852629:QFF852633 QPB852629:QPB852633 QYX852629:QYX852633 RIT852629:RIT852633 RSP852629:RSP852633 SCL852629:SCL852633 SMH852629:SMH852633 SWD852629:SWD852633 TFZ852629:TFZ852633 TPV852629:TPV852633 TZR852629:TZR852633 UJN852629:UJN852633 UTJ852629:UTJ852633 VDF852629:VDF852633 VNB852629:VNB852633 VWX852629:VWX852633 WGT852629:WGT852633 WQP852629:WQP852633 ED918165:ED918169 NZ918165:NZ918169 XV918165:XV918169 AHR918165:AHR918169 ARN918165:ARN918169 BBJ918165:BBJ918169 BLF918165:BLF918169 BVB918165:BVB918169 CEX918165:CEX918169 COT918165:COT918169 CYP918165:CYP918169 DIL918165:DIL918169 DSH918165:DSH918169 ECD918165:ECD918169 ELZ918165:ELZ918169 EVV918165:EVV918169 FFR918165:FFR918169 FPN918165:FPN918169 FZJ918165:FZJ918169 GJF918165:GJF918169 GTB918165:GTB918169 HCX918165:HCX918169 HMT918165:HMT918169 HWP918165:HWP918169 IGL918165:IGL918169 IQH918165:IQH918169 JAD918165:JAD918169 JJZ918165:JJZ918169 JTV918165:JTV918169 KDR918165:KDR918169 KNN918165:KNN918169 KXJ918165:KXJ918169 LHF918165:LHF918169 LRB918165:LRB918169 MAX918165:MAX918169 MKT918165:MKT918169 MUP918165:MUP918169 NEL918165:NEL918169 NOH918165:NOH918169 NYD918165:NYD918169 OHZ918165:OHZ918169 ORV918165:ORV918169 PBR918165:PBR918169 PLN918165:PLN918169 PVJ918165:PVJ918169 QFF918165:QFF918169 QPB918165:QPB918169 QYX918165:QYX918169 RIT918165:RIT918169 RSP918165:RSP918169 SCL918165:SCL918169 SMH918165:SMH918169 SWD918165:SWD918169 TFZ918165:TFZ918169 TPV918165:TPV918169 TZR918165:TZR918169 UJN918165:UJN918169 UTJ918165:UTJ918169 VDF918165:VDF918169 VNB918165:VNB918169 VWX918165:VWX918169 WGT918165:WGT918169 WQP918165:WQP918169 ED983701:ED983705 NZ983701:NZ983705 XV983701:XV983705 AHR983701:AHR983705 ARN983701:ARN983705 BBJ983701:BBJ983705 BLF983701:BLF983705 BVB983701:BVB983705 CEX983701:CEX983705 COT983701:COT983705 CYP983701:CYP983705 DIL983701:DIL983705 DSH983701:DSH983705 ECD983701:ECD983705 ELZ983701:ELZ983705 EVV983701:EVV983705 FFR983701:FFR983705 FPN983701:FPN983705 FZJ983701:FZJ983705 GJF983701:GJF983705 GTB983701:GTB983705 HCX983701:HCX983705 HMT983701:HMT983705 HWP983701:HWP983705 IGL983701:IGL983705 IQH983701:IQH983705 JAD983701:JAD983705 JJZ983701:JJZ983705 JTV983701:JTV983705 KDR983701:KDR983705 KNN983701:KNN983705 KXJ983701:KXJ983705 LHF983701:LHF983705 LRB983701:LRB983705 MAX983701:MAX983705 MKT983701:MKT983705 MUP983701:MUP983705 NEL983701:NEL983705 NOH983701:NOH983705 NYD983701:NYD983705 OHZ983701:OHZ983705 ORV983701:ORV983705 PBR983701:PBR983705 PLN983701:PLN983705 PVJ983701:PVJ983705 QFF983701:QFF983705 QPB983701:QPB983705 QYX983701:QYX983705 RIT983701:RIT983705 RSP983701:RSP983705 SCL983701:SCL983705 SMH983701:SMH983705 SWD983701:SWD983705 TFZ983701:TFZ983705 TPV983701:TPV983705 TZR983701:TZR983705 UJN983701:UJN983705 UTJ983701:UTJ983705 VDF983701:VDF983705 VNB983701:VNB983705 VWX983701:VWX983705 WGT983701:WGT983705 WQP983701:WQP983705 ED66246:ED66252 NZ66246:NZ66252 XV66246:XV66252 AHR66246:AHR66252 ARN66246:ARN66252 BBJ66246:BBJ66252 BLF66246:BLF66252 BVB66246:BVB66252 CEX66246:CEX66252 COT66246:COT66252 CYP66246:CYP66252 DIL66246:DIL66252 DSH66246:DSH66252 ECD66246:ECD66252 ELZ66246:ELZ66252 EVV66246:EVV66252 FFR66246:FFR66252 FPN66246:FPN66252 FZJ66246:FZJ66252 GJF66246:GJF66252 GTB66246:GTB66252 HCX66246:HCX66252 HMT66246:HMT66252 HWP66246:HWP66252 IGL66246:IGL66252 IQH66246:IQH66252 JAD66246:JAD66252 JJZ66246:JJZ66252 JTV66246:JTV66252 KDR66246:KDR66252 KNN66246:KNN66252 KXJ66246:KXJ66252 LHF66246:LHF66252 LRB66246:LRB66252 MAX66246:MAX66252 MKT66246:MKT66252 MUP66246:MUP66252 NEL66246:NEL66252 NOH66246:NOH66252 NYD66246:NYD66252 OHZ66246:OHZ66252 ORV66246:ORV66252 PBR66246:PBR66252 PLN66246:PLN66252 PVJ66246:PVJ66252 QFF66246:QFF66252 QPB66246:QPB66252 QYX66246:QYX66252 RIT66246:RIT66252 RSP66246:RSP66252 SCL66246:SCL66252 SMH66246:SMH66252 SWD66246:SWD66252 TFZ66246:TFZ66252 TPV66246:TPV66252 TZR66246:TZR66252 UJN66246:UJN66252 UTJ66246:UTJ66252 VDF66246:VDF66252 VNB66246:VNB66252 VWX66246:VWX66252 WGT66246:WGT66252 WQP66246:WQP66252 ED131782:ED131788 NZ131782:NZ131788 XV131782:XV131788 AHR131782:AHR131788 ARN131782:ARN131788 BBJ131782:BBJ131788 BLF131782:BLF131788 BVB131782:BVB131788 CEX131782:CEX131788 COT131782:COT131788 CYP131782:CYP131788 DIL131782:DIL131788 DSH131782:DSH131788 ECD131782:ECD131788 ELZ131782:ELZ131788 EVV131782:EVV131788 FFR131782:FFR131788 FPN131782:FPN131788 FZJ131782:FZJ131788 GJF131782:GJF131788 GTB131782:GTB131788 HCX131782:HCX131788 HMT131782:HMT131788 HWP131782:HWP131788 IGL131782:IGL131788 IQH131782:IQH131788 JAD131782:JAD131788 JJZ131782:JJZ131788 JTV131782:JTV131788 KDR131782:KDR131788 KNN131782:KNN131788 KXJ131782:KXJ131788 LHF131782:LHF131788 LRB131782:LRB131788 MAX131782:MAX131788 MKT131782:MKT131788 MUP131782:MUP131788 NEL131782:NEL131788 NOH131782:NOH131788 NYD131782:NYD131788 OHZ131782:OHZ131788 ORV131782:ORV131788 PBR131782:PBR131788 PLN131782:PLN131788 PVJ131782:PVJ131788 QFF131782:QFF131788 QPB131782:QPB131788 QYX131782:QYX131788 RIT131782:RIT131788 RSP131782:RSP131788 SCL131782:SCL131788 SMH131782:SMH131788 SWD131782:SWD131788 TFZ131782:TFZ131788 TPV131782:TPV131788 TZR131782:TZR131788 UJN131782:UJN131788 UTJ131782:UTJ131788 VDF131782:VDF131788 VNB131782:VNB131788 VWX131782:VWX131788 WGT131782:WGT131788 WQP131782:WQP131788 ED197318:ED197324 NZ197318:NZ197324 XV197318:XV197324 AHR197318:AHR197324 ARN197318:ARN197324 BBJ197318:BBJ197324 BLF197318:BLF197324 BVB197318:BVB197324 CEX197318:CEX197324 COT197318:COT197324 CYP197318:CYP197324 DIL197318:DIL197324 DSH197318:DSH197324 ECD197318:ECD197324 ELZ197318:ELZ197324 EVV197318:EVV197324 FFR197318:FFR197324 FPN197318:FPN197324 FZJ197318:FZJ197324 GJF197318:GJF197324 GTB197318:GTB197324 HCX197318:HCX197324 HMT197318:HMT197324 HWP197318:HWP197324 IGL197318:IGL197324 IQH197318:IQH197324 JAD197318:JAD197324 JJZ197318:JJZ197324 JTV197318:JTV197324 KDR197318:KDR197324 KNN197318:KNN197324 KXJ197318:KXJ197324 LHF197318:LHF197324 LRB197318:LRB197324 MAX197318:MAX197324 MKT197318:MKT197324 MUP197318:MUP197324 NEL197318:NEL197324 NOH197318:NOH197324 NYD197318:NYD197324 OHZ197318:OHZ197324 ORV197318:ORV197324 PBR197318:PBR197324 PLN197318:PLN197324 PVJ197318:PVJ197324 QFF197318:QFF197324 QPB197318:QPB197324 QYX197318:QYX197324 RIT197318:RIT197324 RSP197318:RSP197324 SCL197318:SCL197324 SMH197318:SMH197324 SWD197318:SWD197324 TFZ197318:TFZ197324 TPV197318:TPV197324 TZR197318:TZR197324 UJN197318:UJN197324 UTJ197318:UTJ197324 VDF197318:VDF197324 VNB197318:VNB197324 VWX197318:VWX197324 WGT197318:WGT197324 WQP197318:WQP197324 ED262854:ED262860 NZ262854:NZ262860 XV262854:XV262860 AHR262854:AHR262860 ARN262854:ARN262860 BBJ262854:BBJ262860 BLF262854:BLF262860 BVB262854:BVB262860 CEX262854:CEX262860 COT262854:COT262860 CYP262854:CYP262860 DIL262854:DIL262860 DSH262854:DSH262860 ECD262854:ECD262860 ELZ262854:ELZ262860 EVV262854:EVV262860 FFR262854:FFR262860 FPN262854:FPN262860 FZJ262854:FZJ262860 GJF262854:GJF262860 GTB262854:GTB262860 HCX262854:HCX262860 HMT262854:HMT262860 HWP262854:HWP262860 IGL262854:IGL262860 IQH262854:IQH262860 JAD262854:JAD262860 JJZ262854:JJZ262860 JTV262854:JTV262860 KDR262854:KDR262860 KNN262854:KNN262860 KXJ262854:KXJ262860 LHF262854:LHF262860 LRB262854:LRB262860 MAX262854:MAX262860 MKT262854:MKT262860 MUP262854:MUP262860 NEL262854:NEL262860 NOH262854:NOH262860 NYD262854:NYD262860 OHZ262854:OHZ262860 ORV262854:ORV262860 PBR262854:PBR262860 PLN262854:PLN262860 PVJ262854:PVJ262860 QFF262854:QFF262860 QPB262854:QPB262860 QYX262854:QYX262860 RIT262854:RIT262860 RSP262854:RSP262860 SCL262854:SCL262860 SMH262854:SMH262860 SWD262854:SWD262860 TFZ262854:TFZ262860 TPV262854:TPV262860 TZR262854:TZR262860 UJN262854:UJN262860 UTJ262854:UTJ262860 VDF262854:VDF262860 VNB262854:VNB262860 VWX262854:VWX262860 WGT262854:WGT262860 WQP262854:WQP262860 ED328390:ED328396 NZ328390:NZ328396 XV328390:XV328396 AHR328390:AHR328396 ARN328390:ARN328396 BBJ328390:BBJ328396 BLF328390:BLF328396 BVB328390:BVB328396 CEX328390:CEX328396 COT328390:COT328396 CYP328390:CYP328396 DIL328390:DIL328396 DSH328390:DSH328396 ECD328390:ECD328396 ELZ328390:ELZ328396 EVV328390:EVV328396 FFR328390:FFR328396 FPN328390:FPN328396 FZJ328390:FZJ328396 GJF328390:GJF328396 GTB328390:GTB328396 HCX328390:HCX328396 HMT328390:HMT328396 HWP328390:HWP328396 IGL328390:IGL328396 IQH328390:IQH328396 JAD328390:JAD328396 JJZ328390:JJZ328396 JTV328390:JTV328396 KDR328390:KDR328396 KNN328390:KNN328396 KXJ328390:KXJ328396 LHF328390:LHF328396 LRB328390:LRB328396 MAX328390:MAX328396 MKT328390:MKT328396 MUP328390:MUP328396 NEL328390:NEL328396 NOH328390:NOH328396 NYD328390:NYD328396 OHZ328390:OHZ328396 ORV328390:ORV328396 PBR328390:PBR328396 PLN328390:PLN328396 PVJ328390:PVJ328396 QFF328390:QFF328396 QPB328390:QPB328396 QYX328390:QYX328396 RIT328390:RIT328396 RSP328390:RSP328396 SCL328390:SCL328396 SMH328390:SMH328396 SWD328390:SWD328396 TFZ328390:TFZ328396 TPV328390:TPV328396 TZR328390:TZR328396 UJN328390:UJN328396 UTJ328390:UTJ328396 VDF328390:VDF328396 VNB328390:VNB328396 VWX328390:VWX328396 WGT328390:WGT328396 WQP328390:WQP328396 ED393926:ED393932 NZ393926:NZ393932 XV393926:XV393932 AHR393926:AHR393932 ARN393926:ARN393932 BBJ393926:BBJ393932 BLF393926:BLF393932 BVB393926:BVB393932 CEX393926:CEX393932 COT393926:COT393932 CYP393926:CYP393932 DIL393926:DIL393932 DSH393926:DSH393932 ECD393926:ECD393932 ELZ393926:ELZ393932 EVV393926:EVV393932 FFR393926:FFR393932 FPN393926:FPN393932 FZJ393926:FZJ393932 GJF393926:GJF393932 GTB393926:GTB393932 HCX393926:HCX393932 HMT393926:HMT393932 HWP393926:HWP393932 IGL393926:IGL393932 IQH393926:IQH393932 JAD393926:JAD393932 JJZ393926:JJZ393932 JTV393926:JTV393932 KDR393926:KDR393932 KNN393926:KNN393932 KXJ393926:KXJ393932 LHF393926:LHF393932 LRB393926:LRB393932 MAX393926:MAX393932 MKT393926:MKT393932 MUP393926:MUP393932 NEL393926:NEL393932 NOH393926:NOH393932 NYD393926:NYD393932 OHZ393926:OHZ393932 ORV393926:ORV393932 PBR393926:PBR393932 PLN393926:PLN393932 PVJ393926:PVJ393932 QFF393926:QFF393932 QPB393926:QPB393932 QYX393926:QYX393932 RIT393926:RIT393932 RSP393926:RSP393932 SCL393926:SCL393932 SMH393926:SMH393932 SWD393926:SWD393932 TFZ393926:TFZ393932 TPV393926:TPV393932 TZR393926:TZR393932 UJN393926:UJN393932 UTJ393926:UTJ393932 VDF393926:VDF393932 VNB393926:VNB393932 VWX393926:VWX393932 WGT393926:WGT393932 WQP393926:WQP393932 ED459462:ED459468 NZ459462:NZ459468 XV459462:XV459468 AHR459462:AHR459468 ARN459462:ARN459468 BBJ459462:BBJ459468 BLF459462:BLF459468 BVB459462:BVB459468 CEX459462:CEX459468 COT459462:COT459468 CYP459462:CYP459468 DIL459462:DIL459468 DSH459462:DSH459468 ECD459462:ECD459468 ELZ459462:ELZ459468 EVV459462:EVV459468 FFR459462:FFR459468 FPN459462:FPN459468 FZJ459462:FZJ459468 GJF459462:GJF459468 GTB459462:GTB459468 HCX459462:HCX459468 HMT459462:HMT459468 HWP459462:HWP459468 IGL459462:IGL459468 IQH459462:IQH459468 JAD459462:JAD459468 JJZ459462:JJZ459468 JTV459462:JTV459468 KDR459462:KDR459468 KNN459462:KNN459468 KXJ459462:KXJ459468 LHF459462:LHF459468 LRB459462:LRB459468 MAX459462:MAX459468 MKT459462:MKT459468 MUP459462:MUP459468 NEL459462:NEL459468 NOH459462:NOH459468 NYD459462:NYD459468 OHZ459462:OHZ459468 ORV459462:ORV459468 PBR459462:PBR459468 PLN459462:PLN459468 PVJ459462:PVJ459468 QFF459462:QFF459468 QPB459462:QPB459468 QYX459462:QYX459468 RIT459462:RIT459468 RSP459462:RSP459468 SCL459462:SCL459468 SMH459462:SMH459468 SWD459462:SWD459468 TFZ459462:TFZ459468 TPV459462:TPV459468 TZR459462:TZR459468 UJN459462:UJN459468 UTJ459462:UTJ459468 VDF459462:VDF459468 VNB459462:VNB459468 VWX459462:VWX459468 WGT459462:WGT459468 WQP459462:WQP459468 ED524998:ED525004 NZ524998:NZ525004 XV524998:XV525004 AHR524998:AHR525004 ARN524998:ARN525004 BBJ524998:BBJ525004 BLF524998:BLF525004 BVB524998:BVB525004 CEX524998:CEX525004 COT524998:COT525004 CYP524998:CYP525004 DIL524998:DIL525004 DSH524998:DSH525004 ECD524998:ECD525004 ELZ524998:ELZ525004 EVV524998:EVV525004 FFR524998:FFR525004 FPN524998:FPN525004 FZJ524998:FZJ525004 GJF524998:GJF525004 GTB524998:GTB525004 HCX524998:HCX525004 HMT524998:HMT525004 HWP524998:HWP525004 IGL524998:IGL525004 IQH524998:IQH525004 JAD524998:JAD525004 JJZ524998:JJZ525004 JTV524998:JTV525004 KDR524998:KDR525004 KNN524998:KNN525004 KXJ524998:KXJ525004 LHF524998:LHF525004 LRB524998:LRB525004 MAX524998:MAX525004 MKT524998:MKT525004 MUP524998:MUP525004 NEL524998:NEL525004 NOH524998:NOH525004 NYD524998:NYD525004 OHZ524998:OHZ525004 ORV524998:ORV525004 PBR524998:PBR525004 PLN524998:PLN525004 PVJ524998:PVJ525004 QFF524998:QFF525004 QPB524998:QPB525004 QYX524998:QYX525004 RIT524998:RIT525004 RSP524998:RSP525004 SCL524998:SCL525004 SMH524998:SMH525004 SWD524998:SWD525004 TFZ524998:TFZ525004 TPV524998:TPV525004 TZR524998:TZR525004 UJN524998:UJN525004 UTJ524998:UTJ525004 VDF524998:VDF525004 VNB524998:VNB525004 VWX524998:VWX525004 WGT524998:WGT525004 WQP524998:WQP525004 ED590534:ED590540 NZ590534:NZ590540 XV590534:XV590540 AHR590534:AHR590540 ARN590534:ARN590540 BBJ590534:BBJ590540 BLF590534:BLF590540 BVB590534:BVB590540 CEX590534:CEX590540 COT590534:COT590540 CYP590534:CYP590540 DIL590534:DIL590540 DSH590534:DSH590540 ECD590534:ECD590540 ELZ590534:ELZ590540 EVV590534:EVV590540 FFR590534:FFR590540 FPN590534:FPN590540 FZJ590534:FZJ590540 GJF590534:GJF590540 GTB590534:GTB590540 HCX590534:HCX590540 HMT590534:HMT590540 HWP590534:HWP590540 IGL590534:IGL590540 IQH590534:IQH590540 JAD590534:JAD590540 JJZ590534:JJZ590540 JTV590534:JTV590540 KDR590534:KDR590540 KNN590534:KNN590540 KXJ590534:KXJ590540 LHF590534:LHF590540 LRB590534:LRB590540 MAX590534:MAX590540 MKT590534:MKT590540 MUP590534:MUP590540 NEL590534:NEL590540 NOH590534:NOH590540 NYD590534:NYD590540 OHZ590534:OHZ590540 ORV590534:ORV590540 PBR590534:PBR590540 PLN590534:PLN590540 PVJ590534:PVJ590540 QFF590534:QFF590540 QPB590534:QPB590540 QYX590534:QYX590540 RIT590534:RIT590540 RSP590534:RSP590540 SCL590534:SCL590540 SMH590534:SMH590540 SWD590534:SWD590540 TFZ590534:TFZ590540 TPV590534:TPV590540 TZR590534:TZR590540 UJN590534:UJN590540 UTJ590534:UTJ590540 VDF590534:VDF590540 VNB590534:VNB590540 VWX590534:VWX590540 WGT590534:WGT590540 WQP590534:WQP590540 ED656070:ED656076 NZ656070:NZ656076 XV656070:XV656076 AHR656070:AHR656076 ARN656070:ARN656076 BBJ656070:BBJ656076 BLF656070:BLF656076 BVB656070:BVB656076 CEX656070:CEX656076 COT656070:COT656076 CYP656070:CYP656076 DIL656070:DIL656076 DSH656070:DSH656076 ECD656070:ECD656076 ELZ656070:ELZ656076 EVV656070:EVV656076 FFR656070:FFR656076 FPN656070:FPN656076 FZJ656070:FZJ656076 GJF656070:GJF656076 GTB656070:GTB656076 HCX656070:HCX656076 HMT656070:HMT656076 HWP656070:HWP656076 IGL656070:IGL656076 IQH656070:IQH656076 JAD656070:JAD656076 JJZ656070:JJZ656076 JTV656070:JTV656076 KDR656070:KDR656076 KNN656070:KNN656076 KXJ656070:KXJ656076 LHF656070:LHF656076 LRB656070:LRB656076 MAX656070:MAX656076 MKT656070:MKT656076 MUP656070:MUP656076 NEL656070:NEL656076 NOH656070:NOH656076 NYD656070:NYD656076 OHZ656070:OHZ656076 ORV656070:ORV656076 PBR656070:PBR656076 PLN656070:PLN656076 PVJ656070:PVJ656076 QFF656070:QFF656076 QPB656070:QPB656076 QYX656070:QYX656076 RIT656070:RIT656076 RSP656070:RSP656076 SCL656070:SCL656076 SMH656070:SMH656076 SWD656070:SWD656076 TFZ656070:TFZ656076 TPV656070:TPV656076 TZR656070:TZR656076 UJN656070:UJN656076 UTJ656070:UTJ656076 VDF656070:VDF656076 VNB656070:VNB656076 VWX656070:VWX656076 WGT656070:WGT656076 WQP656070:WQP656076 ED721606:ED721612 NZ721606:NZ721612 XV721606:XV721612 AHR721606:AHR721612 ARN721606:ARN721612 BBJ721606:BBJ721612 BLF721606:BLF721612 BVB721606:BVB721612 CEX721606:CEX721612 COT721606:COT721612 CYP721606:CYP721612 DIL721606:DIL721612 DSH721606:DSH721612 ECD721606:ECD721612 ELZ721606:ELZ721612 EVV721606:EVV721612 FFR721606:FFR721612 FPN721606:FPN721612 FZJ721606:FZJ721612 GJF721606:GJF721612 GTB721606:GTB721612 HCX721606:HCX721612 HMT721606:HMT721612 HWP721606:HWP721612 IGL721606:IGL721612 IQH721606:IQH721612 JAD721606:JAD721612 JJZ721606:JJZ721612 JTV721606:JTV721612 KDR721606:KDR721612 KNN721606:KNN721612 KXJ721606:KXJ721612 LHF721606:LHF721612 LRB721606:LRB721612 MAX721606:MAX721612 MKT721606:MKT721612 MUP721606:MUP721612 NEL721606:NEL721612 NOH721606:NOH721612 NYD721606:NYD721612 OHZ721606:OHZ721612 ORV721606:ORV721612 PBR721606:PBR721612 PLN721606:PLN721612 PVJ721606:PVJ721612 QFF721606:QFF721612 QPB721606:QPB721612 QYX721606:QYX721612 RIT721606:RIT721612 RSP721606:RSP721612 SCL721606:SCL721612 SMH721606:SMH721612 SWD721606:SWD721612 TFZ721606:TFZ721612 TPV721606:TPV721612 TZR721606:TZR721612 UJN721606:UJN721612 UTJ721606:UTJ721612 VDF721606:VDF721612 VNB721606:VNB721612 VWX721606:VWX721612 WGT721606:WGT721612 WQP721606:WQP721612 ED787142:ED787148 NZ787142:NZ787148 XV787142:XV787148 AHR787142:AHR787148 ARN787142:ARN787148 BBJ787142:BBJ787148 BLF787142:BLF787148 BVB787142:BVB787148 CEX787142:CEX787148 COT787142:COT787148 CYP787142:CYP787148 DIL787142:DIL787148 DSH787142:DSH787148 ECD787142:ECD787148 ELZ787142:ELZ787148 EVV787142:EVV787148 FFR787142:FFR787148 FPN787142:FPN787148 FZJ787142:FZJ787148 GJF787142:GJF787148 GTB787142:GTB787148 HCX787142:HCX787148 HMT787142:HMT787148 HWP787142:HWP787148 IGL787142:IGL787148 IQH787142:IQH787148 JAD787142:JAD787148 JJZ787142:JJZ787148 JTV787142:JTV787148 KDR787142:KDR787148 KNN787142:KNN787148 KXJ787142:KXJ787148 LHF787142:LHF787148 LRB787142:LRB787148 MAX787142:MAX787148 MKT787142:MKT787148 MUP787142:MUP787148 NEL787142:NEL787148 NOH787142:NOH787148 NYD787142:NYD787148 OHZ787142:OHZ787148 ORV787142:ORV787148 PBR787142:PBR787148 PLN787142:PLN787148 PVJ787142:PVJ787148 QFF787142:QFF787148 QPB787142:QPB787148 QYX787142:QYX787148 RIT787142:RIT787148 RSP787142:RSP787148 SCL787142:SCL787148 SMH787142:SMH787148 SWD787142:SWD787148 TFZ787142:TFZ787148 TPV787142:TPV787148 TZR787142:TZR787148 UJN787142:UJN787148 UTJ787142:UTJ787148 VDF787142:VDF787148 VNB787142:VNB787148 VWX787142:VWX787148 WGT787142:WGT787148 WQP787142:WQP787148 ED852678:ED852684 NZ852678:NZ852684 XV852678:XV852684 AHR852678:AHR852684 ARN852678:ARN852684 BBJ852678:BBJ852684 BLF852678:BLF852684 BVB852678:BVB852684 CEX852678:CEX852684 COT852678:COT852684 CYP852678:CYP852684 DIL852678:DIL852684 DSH852678:DSH852684 ECD852678:ECD852684 ELZ852678:ELZ852684 EVV852678:EVV852684 FFR852678:FFR852684 FPN852678:FPN852684 FZJ852678:FZJ852684 GJF852678:GJF852684 GTB852678:GTB852684 HCX852678:HCX852684 HMT852678:HMT852684 HWP852678:HWP852684 IGL852678:IGL852684 IQH852678:IQH852684 JAD852678:JAD852684 JJZ852678:JJZ852684 JTV852678:JTV852684 KDR852678:KDR852684 KNN852678:KNN852684 KXJ852678:KXJ852684 LHF852678:LHF852684 LRB852678:LRB852684 MAX852678:MAX852684 MKT852678:MKT852684 MUP852678:MUP852684 NEL852678:NEL852684 NOH852678:NOH852684 NYD852678:NYD852684 OHZ852678:OHZ852684 ORV852678:ORV852684 PBR852678:PBR852684 PLN852678:PLN852684 PVJ852678:PVJ852684 QFF852678:QFF852684 QPB852678:QPB852684 QYX852678:QYX852684 RIT852678:RIT852684 RSP852678:RSP852684 SCL852678:SCL852684 SMH852678:SMH852684 SWD852678:SWD852684 TFZ852678:TFZ852684 TPV852678:TPV852684 TZR852678:TZR852684 UJN852678:UJN852684 UTJ852678:UTJ852684 VDF852678:VDF852684 VNB852678:VNB852684 VWX852678:VWX852684 WGT852678:WGT852684 WQP852678:WQP852684 ED918214:ED918220 NZ918214:NZ918220 XV918214:XV918220 AHR918214:AHR918220 ARN918214:ARN918220 BBJ918214:BBJ918220 BLF918214:BLF918220 BVB918214:BVB918220 CEX918214:CEX918220 COT918214:COT918220 CYP918214:CYP918220 DIL918214:DIL918220 DSH918214:DSH918220 ECD918214:ECD918220 ELZ918214:ELZ918220 EVV918214:EVV918220 FFR918214:FFR918220 FPN918214:FPN918220 FZJ918214:FZJ918220 GJF918214:GJF918220 GTB918214:GTB918220 HCX918214:HCX918220 HMT918214:HMT918220 HWP918214:HWP918220 IGL918214:IGL918220 IQH918214:IQH918220 JAD918214:JAD918220 JJZ918214:JJZ918220 JTV918214:JTV918220 KDR918214:KDR918220 KNN918214:KNN918220 KXJ918214:KXJ918220 LHF918214:LHF918220 LRB918214:LRB918220 MAX918214:MAX918220 MKT918214:MKT918220 MUP918214:MUP918220 NEL918214:NEL918220 NOH918214:NOH918220 NYD918214:NYD918220 OHZ918214:OHZ918220 ORV918214:ORV918220 PBR918214:PBR918220 PLN918214:PLN918220 PVJ918214:PVJ918220 QFF918214:QFF918220 QPB918214:QPB918220 QYX918214:QYX918220 RIT918214:RIT918220 RSP918214:RSP918220 SCL918214:SCL918220 SMH918214:SMH918220 SWD918214:SWD918220 TFZ918214:TFZ918220 TPV918214:TPV918220 TZR918214:TZR918220 UJN918214:UJN918220 UTJ918214:UTJ918220 VDF918214:VDF918220 VNB918214:VNB918220 VWX918214:VWX918220 WGT918214:WGT918220 WQP918214:WQP918220 ED983750:ED983756 NZ983750:NZ983756 XV983750:XV983756 AHR983750:AHR983756 ARN983750:ARN983756 BBJ983750:BBJ983756 BLF983750:BLF983756 BVB983750:BVB983756 CEX983750:CEX983756 COT983750:COT983756 CYP983750:CYP983756 DIL983750:DIL983756 DSH983750:DSH983756 ECD983750:ECD983756 ELZ983750:ELZ983756 EVV983750:EVV983756 FFR983750:FFR983756 FPN983750:FPN983756 FZJ983750:FZJ983756 GJF983750:GJF983756 GTB983750:GTB983756 HCX983750:HCX983756 HMT983750:HMT983756 HWP983750:HWP983756 IGL983750:IGL983756 IQH983750:IQH983756 JAD983750:JAD983756 JJZ983750:JJZ983756 JTV983750:JTV983756 KDR983750:KDR983756 KNN983750:KNN983756 KXJ983750:KXJ983756 LHF983750:LHF983756 LRB983750:LRB983756 MAX983750:MAX983756 MKT983750:MKT983756 MUP983750:MUP983756 NEL983750:NEL983756 NOH983750:NOH983756 NYD983750:NYD983756 OHZ983750:OHZ983756 ORV983750:ORV983756 PBR983750:PBR983756 PLN983750:PLN983756 PVJ983750:PVJ983756 QFF983750:QFF983756 QPB983750:QPB983756 QYX983750:QYX983756 RIT983750:RIT983756 RSP983750:RSP983756 SCL983750:SCL983756 SMH983750:SMH983756 SWD983750:SWD983756 TFZ983750:TFZ983756 TPV983750:TPV983756 TZR983750:TZR983756 UJN983750:UJN983756 UTJ983750:UTJ983756 VDF983750:VDF983756 VNB983750:VNB983756 VWX983750:VWX983756 WGT983750:WGT983756 WQP983750:WQP983756 ED66275 NZ66275 XV66275 AHR66275 ARN66275 BBJ66275 BLF66275 BVB66275 CEX66275 COT66275 CYP66275 DIL66275 DSH66275 ECD66275 ELZ66275 EVV66275 FFR66275 FPN66275 FZJ66275 GJF66275 GTB66275 HCX66275 HMT66275 HWP66275 IGL66275 IQH66275 JAD66275 JJZ66275 JTV66275 KDR66275 KNN66275 KXJ66275 LHF66275 LRB66275 MAX66275 MKT66275 MUP66275 NEL66275 NOH66275 NYD66275 OHZ66275 ORV66275 PBR66275 PLN66275 PVJ66275 QFF66275 QPB66275 QYX66275 RIT66275 RSP66275 SCL66275 SMH66275 SWD66275 TFZ66275 TPV66275 TZR66275 UJN66275 UTJ66275 VDF66275 VNB66275 VWX66275 WGT66275 WQP66275 ED131811 NZ131811 XV131811 AHR131811 ARN131811 BBJ131811 BLF131811 BVB131811 CEX131811 COT131811 CYP131811 DIL131811 DSH131811 ECD131811 ELZ131811 EVV131811 FFR131811 FPN131811 FZJ131811 GJF131811 GTB131811 HCX131811 HMT131811 HWP131811 IGL131811 IQH131811 JAD131811 JJZ131811 JTV131811 KDR131811 KNN131811 KXJ131811 LHF131811 LRB131811 MAX131811 MKT131811 MUP131811 NEL131811 NOH131811 NYD131811 OHZ131811 ORV131811 PBR131811 PLN131811 PVJ131811 QFF131811 QPB131811 QYX131811 RIT131811 RSP131811 SCL131811 SMH131811 SWD131811 TFZ131811 TPV131811 TZR131811 UJN131811 UTJ131811 VDF131811 VNB131811 VWX131811 WGT131811 WQP131811 ED197347 NZ197347 XV197347 AHR197347 ARN197347 BBJ197347 BLF197347 BVB197347 CEX197347 COT197347 CYP197347 DIL197347 DSH197347 ECD197347 ELZ197347 EVV197347 FFR197347 FPN197347 FZJ197347 GJF197347 GTB197347 HCX197347 HMT197347 HWP197347 IGL197347 IQH197347 JAD197347 JJZ197347 JTV197347 KDR197347 KNN197347 KXJ197347 LHF197347 LRB197347 MAX197347 MKT197347 MUP197347 NEL197347 NOH197347 NYD197347 OHZ197347 ORV197347 PBR197347 PLN197347 PVJ197347 QFF197347 QPB197347 QYX197347 RIT197347 RSP197347 SCL197347 SMH197347 SWD197347 TFZ197347 TPV197347 TZR197347 UJN197347 UTJ197347 VDF197347 VNB197347 VWX197347 WGT197347 WQP197347 ED262883 NZ262883 XV262883 AHR262883 ARN262883 BBJ262883 BLF262883 BVB262883 CEX262883 COT262883 CYP262883 DIL262883 DSH262883 ECD262883 ELZ262883 EVV262883 FFR262883 FPN262883 FZJ262883 GJF262883 GTB262883 HCX262883 HMT262883 HWP262883 IGL262883 IQH262883 JAD262883 JJZ262883 JTV262883 KDR262883 KNN262883 KXJ262883 LHF262883 LRB262883 MAX262883 MKT262883 MUP262883 NEL262883 NOH262883 NYD262883 OHZ262883 ORV262883 PBR262883 PLN262883 PVJ262883 QFF262883 QPB262883 QYX262883 RIT262883 RSP262883 SCL262883 SMH262883 SWD262883 TFZ262883 TPV262883 TZR262883 UJN262883 UTJ262883 VDF262883 VNB262883 VWX262883 WGT262883 WQP262883 ED328419 NZ328419 XV328419 AHR328419 ARN328419 BBJ328419 BLF328419 BVB328419 CEX328419 COT328419 CYP328419 DIL328419 DSH328419 ECD328419 ELZ328419 EVV328419 FFR328419 FPN328419 FZJ328419 GJF328419 GTB328419 HCX328419 HMT328419 HWP328419 IGL328419 IQH328419 JAD328419 JJZ328419 JTV328419 KDR328419 KNN328419 KXJ328419 LHF328419 LRB328419 MAX328419 MKT328419 MUP328419 NEL328419 NOH328419 NYD328419 OHZ328419 ORV328419 PBR328419 PLN328419 PVJ328419 QFF328419 QPB328419 QYX328419 RIT328419 RSP328419 SCL328419 SMH328419 SWD328419 TFZ328419 TPV328419 TZR328419 UJN328419 UTJ328419 VDF328419 VNB328419 VWX328419 WGT328419 WQP328419 ED393955 NZ393955 XV393955 AHR393955 ARN393955 BBJ393955 BLF393955 BVB393955 CEX393955 COT393955 CYP393955 DIL393955 DSH393955 ECD393955 ELZ393955 EVV393955 FFR393955 FPN393955 FZJ393955 GJF393955 GTB393955 HCX393955 HMT393955 HWP393955 IGL393955 IQH393955 JAD393955 JJZ393955 JTV393955 KDR393955 KNN393955 KXJ393955 LHF393955 LRB393955 MAX393955 MKT393955 MUP393955 NEL393955 NOH393955 NYD393955 OHZ393955 ORV393955 PBR393955 PLN393955 PVJ393955 QFF393955 QPB393955 QYX393955 RIT393955 RSP393955 SCL393955 SMH393955 SWD393955 TFZ393955 TPV393955 TZR393955 UJN393955 UTJ393955 VDF393955 VNB393955 VWX393955 WGT393955 WQP393955 ED459491 NZ459491 XV459491 AHR459491 ARN459491 BBJ459491 BLF459491 BVB459491 CEX459491 COT459491 CYP459491 DIL459491 DSH459491 ECD459491 ELZ459491 EVV459491 FFR459491 FPN459491 FZJ459491 GJF459491 GTB459491 HCX459491 HMT459491 HWP459491 IGL459491 IQH459491 JAD459491 JJZ459491 JTV459491 KDR459491 KNN459491 KXJ459491 LHF459491 LRB459491 MAX459491 MKT459491 MUP459491 NEL459491 NOH459491 NYD459491 OHZ459491 ORV459491 PBR459491 PLN459491 PVJ459491 QFF459491 QPB459491 QYX459491 RIT459491 RSP459491 SCL459491 SMH459491 SWD459491 TFZ459491 TPV459491 TZR459491 UJN459491 UTJ459491 VDF459491 VNB459491 VWX459491 WGT459491 WQP459491 ED525027 NZ525027 XV525027 AHR525027 ARN525027 BBJ525027 BLF525027 BVB525027 CEX525027 COT525027 CYP525027 DIL525027 DSH525027 ECD525027 ELZ525027 EVV525027 FFR525027 FPN525027 FZJ525027 GJF525027 GTB525027 HCX525027 HMT525027 HWP525027 IGL525027 IQH525027 JAD525027 JJZ525027 JTV525027 KDR525027 KNN525027 KXJ525027 LHF525027 LRB525027 MAX525027 MKT525027 MUP525027 NEL525027 NOH525027 NYD525027 OHZ525027 ORV525027 PBR525027 PLN525027 PVJ525027 QFF525027 QPB525027 QYX525027 RIT525027 RSP525027 SCL525027 SMH525027 SWD525027 TFZ525027 TPV525027 TZR525027 UJN525027 UTJ525027 VDF525027 VNB525027 VWX525027 WGT525027 WQP525027 ED590563 NZ590563 XV590563 AHR590563 ARN590563 BBJ590563 BLF590563 BVB590563 CEX590563 COT590563 CYP590563 DIL590563 DSH590563 ECD590563 ELZ590563 EVV590563 FFR590563 FPN590563 FZJ590563 GJF590563 GTB590563 HCX590563 HMT590563 HWP590563 IGL590563 IQH590563 JAD590563 JJZ590563 JTV590563 KDR590563 KNN590563 KXJ590563 LHF590563 LRB590563 MAX590563 MKT590563 MUP590563 NEL590563 NOH590563 NYD590563 OHZ590563 ORV590563 PBR590563 PLN590563 PVJ590563 QFF590563 QPB590563 QYX590563 RIT590563 RSP590563 SCL590563 SMH590563 SWD590563 TFZ590563 TPV590563 TZR590563 UJN590563 UTJ590563 VDF590563 VNB590563 VWX590563 WGT590563 WQP590563 ED656099 NZ656099 XV656099 AHR656099 ARN656099 BBJ656099 BLF656099 BVB656099 CEX656099 COT656099 CYP656099 DIL656099 DSH656099 ECD656099 ELZ656099 EVV656099 FFR656099 FPN656099 FZJ656099 GJF656099 GTB656099 HCX656099 HMT656099 HWP656099 IGL656099 IQH656099 JAD656099 JJZ656099 JTV656099 KDR656099 KNN656099 KXJ656099 LHF656099 LRB656099 MAX656099 MKT656099 MUP656099 NEL656099 NOH656099 NYD656099 OHZ656099 ORV656099 PBR656099 PLN656099 PVJ656099 QFF656099 QPB656099 QYX656099 RIT656099 RSP656099 SCL656099 SMH656099 SWD656099 TFZ656099 TPV656099 TZR656099 UJN656099 UTJ656099 VDF656099 VNB656099 VWX656099 WGT656099 WQP656099 ED721635 NZ721635 XV721635 AHR721635 ARN721635 BBJ721635 BLF721635 BVB721635 CEX721635 COT721635 CYP721635 DIL721635 DSH721635 ECD721635 ELZ721635 EVV721635 FFR721635 FPN721635 FZJ721635 GJF721635 GTB721635 HCX721635 HMT721635 HWP721635 IGL721635 IQH721635 JAD721635 JJZ721635 JTV721635 KDR721635 KNN721635 KXJ721635 LHF721635 LRB721635 MAX721635 MKT721635 MUP721635 NEL721635 NOH721635 NYD721635 OHZ721635 ORV721635 PBR721635 PLN721635 PVJ721635 QFF721635 QPB721635 QYX721635 RIT721635 RSP721635 SCL721635 SMH721635 SWD721635 TFZ721635 TPV721635 TZR721635 UJN721635 UTJ721635 VDF721635 VNB721635 VWX721635 WGT721635 WQP721635 ED787171 NZ787171 XV787171 AHR787171 ARN787171 BBJ787171 BLF787171 BVB787171 CEX787171 COT787171 CYP787171 DIL787171 DSH787171 ECD787171 ELZ787171 EVV787171 FFR787171 FPN787171 FZJ787171 GJF787171 GTB787171 HCX787171 HMT787171 HWP787171 IGL787171 IQH787171 JAD787171 JJZ787171 JTV787171 KDR787171 KNN787171 KXJ787171 LHF787171 LRB787171 MAX787171 MKT787171 MUP787171 NEL787171 NOH787171 NYD787171 OHZ787171 ORV787171 PBR787171 PLN787171 PVJ787171 QFF787171 QPB787171 QYX787171 RIT787171 RSP787171 SCL787171 SMH787171 SWD787171 TFZ787171 TPV787171 TZR787171 UJN787171 UTJ787171 VDF787171 VNB787171 VWX787171 WGT787171 WQP787171 ED852707 NZ852707 XV852707 AHR852707 ARN852707 BBJ852707 BLF852707 BVB852707 CEX852707 COT852707 CYP852707 DIL852707 DSH852707 ECD852707 ELZ852707 EVV852707 FFR852707 FPN852707 FZJ852707 GJF852707 GTB852707 HCX852707 HMT852707 HWP852707 IGL852707 IQH852707 JAD852707 JJZ852707 JTV852707 KDR852707 KNN852707 KXJ852707 LHF852707 LRB852707 MAX852707 MKT852707 MUP852707 NEL852707 NOH852707 NYD852707 OHZ852707 ORV852707 PBR852707 PLN852707 PVJ852707 QFF852707 QPB852707 QYX852707 RIT852707 RSP852707 SCL852707 SMH852707 SWD852707 TFZ852707 TPV852707 TZR852707 UJN852707 UTJ852707 VDF852707 VNB852707 VWX852707 WGT852707 WQP852707 ED918243 NZ918243 XV918243 AHR918243 ARN918243 BBJ918243 BLF918243 BVB918243 CEX918243 COT918243 CYP918243 DIL918243 DSH918243 ECD918243 ELZ918243 EVV918243 FFR918243 FPN918243 FZJ918243 GJF918243 GTB918243 HCX918243 HMT918243 HWP918243 IGL918243 IQH918243 JAD918243 JJZ918243 JTV918243 KDR918243 KNN918243 KXJ918243 LHF918243 LRB918243 MAX918243 MKT918243 MUP918243 NEL918243 NOH918243 NYD918243 OHZ918243 ORV918243 PBR918243 PLN918243 PVJ918243 QFF918243 QPB918243 QYX918243 RIT918243 RSP918243 SCL918243 SMH918243 SWD918243 TFZ918243 TPV918243 TZR918243 UJN918243 UTJ918243 VDF918243 VNB918243 VWX918243 WGT918243 WQP918243 ED983779 NZ983779 XV983779 AHR983779 ARN983779 BBJ983779 BLF983779 BVB983779 CEX983779 COT983779 CYP983779 DIL983779 DSH983779 ECD983779 ELZ983779 EVV983779 FFR983779 FPN983779 FZJ983779 GJF983779 GTB983779 HCX983779 HMT983779 HWP983779 IGL983779 IQH983779 JAD983779 JJZ983779 JTV983779 KDR983779 KNN983779 KXJ983779 LHF983779 LRB983779 MAX983779 MKT983779 MUP983779 NEL983779 NOH983779 NYD983779 OHZ983779 ORV983779 PBR983779 PLN983779 PVJ983779 QFF983779 QPB983779 QYX983779 RIT983779 RSP983779 SCL983779 SMH983779 SWD983779 TFZ983779 TPV983779 TZR983779 UJN983779 UTJ983779 VDF983779 VNB983779 VWX983779 WGT983779 WQP983779 ED66232 NZ66232 XV66232 AHR66232 ARN66232 BBJ66232 BLF66232 BVB66232 CEX66232 COT66232 CYP66232 DIL66232 DSH66232 ECD66232 ELZ66232 EVV66232 FFR66232 FPN66232 FZJ66232 GJF66232 GTB66232 HCX66232 HMT66232 HWP66232 IGL66232 IQH66232 JAD66232 JJZ66232 JTV66232 KDR66232 KNN66232 KXJ66232 LHF66232 LRB66232 MAX66232 MKT66232 MUP66232 NEL66232 NOH66232 NYD66232 OHZ66232 ORV66232 PBR66232 PLN66232 PVJ66232 QFF66232 QPB66232 QYX66232 RIT66232 RSP66232 SCL66232 SMH66232 SWD66232 TFZ66232 TPV66232 TZR66232 UJN66232 UTJ66232 VDF66232 VNB66232 VWX66232 WGT66232 WQP66232 ED131768 NZ131768 XV131768 AHR131768 ARN131768 BBJ131768 BLF131768 BVB131768 CEX131768 COT131768 CYP131768 DIL131768 DSH131768 ECD131768 ELZ131768 EVV131768 FFR131768 FPN131768 FZJ131768 GJF131768 GTB131768 HCX131768 HMT131768 HWP131768 IGL131768 IQH131768 JAD131768 JJZ131768 JTV131768 KDR131768 KNN131768 KXJ131768 LHF131768 LRB131768 MAX131768 MKT131768 MUP131768 NEL131768 NOH131768 NYD131768 OHZ131768 ORV131768 PBR131768 PLN131768 PVJ131768 QFF131768 QPB131768 QYX131768 RIT131768 RSP131768 SCL131768 SMH131768 SWD131768 TFZ131768 TPV131768 TZR131768 UJN131768 UTJ131768 VDF131768 VNB131768 VWX131768 WGT131768 WQP131768 ED197304 NZ197304 XV197304 AHR197304 ARN197304 BBJ197304 BLF197304 BVB197304 CEX197304 COT197304 CYP197304 DIL197304 DSH197304 ECD197304 ELZ197304 EVV197304 FFR197304 FPN197304 FZJ197304 GJF197304 GTB197304 HCX197304 HMT197304 HWP197304 IGL197304 IQH197304 JAD197304 JJZ197304 JTV197304 KDR197304 KNN197304 KXJ197304 LHF197304 LRB197304 MAX197304 MKT197304 MUP197304 NEL197304 NOH197304 NYD197304 OHZ197304 ORV197304 PBR197304 PLN197304 PVJ197304 QFF197304 QPB197304 QYX197304 RIT197304 RSP197304 SCL197304 SMH197304 SWD197304 TFZ197304 TPV197304 TZR197304 UJN197304 UTJ197304 VDF197304 VNB197304 VWX197304 WGT197304 WQP197304 ED262840 NZ262840 XV262840 AHR262840 ARN262840 BBJ262840 BLF262840 BVB262840 CEX262840 COT262840 CYP262840 DIL262840 DSH262840 ECD262840 ELZ262840 EVV262840 FFR262840 FPN262840 FZJ262840 GJF262840 GTB262840 HCX262840 HMT262840 HWP262840 IGL262840 IQH262840 JAD262840 JJZ262840 JTV262840 KDR262840 KNN262840 KXJ262840 LHF262840 LRB262840 MAX262840 MKT262840 MUP262840 NEL262840 NOH262840 NYD262840 OHZ262840 ORV262840 PBR262840 PLN262840 PVJ262840 QFF262840 QPB262840 QYX262840 RIT262840 RSP262840 SCL262840 SMH262840 SWD262840 TFZ262840 TPV262840 TZR262840 UJN262840 UTJ262840 VDF262840 VNB262840 VWX262840 WGT262840 WQP262840 ED328376 NZ328376 XV328376 AHR328376 ARN328376 BBJ328376 BLF328376 BVB328376 CEX328376 COT328376 CYP328376 DIL328376 DSH328376 ECD328376 ELZ328376 EVV328376 FFR328376 FPN328376 FZJ328376 GJF328376 GTB328376 HCX328376 HMT328376 HWP328376 IGL328376 IQH328376 JAD328376 JJZ328376 JTV328376 KDR328376 KNN328376 KXJ328376 LHF328376 LRB328376 MAX328376 MKT328376 MUP328376 NEL328376 NOH328376 NYD328376 OHZ328376 ORV328376 PBR328376 PLN328376 PVJ328376 QFF328376 QPB328376 QYX328376 RIT328376 RSP328376 SCL328376 SMH328376 SWD328376 TFZ328376 TPV328376 TZR328376 UJN328376 UTJ328376 VDF328376 VNB328376 VWX328376 WGT328376 WQP328376 ED393912 NZ393912 XV393912 AHR393912 ARN393912 BBJ393912 BLF393912 BVB393912 CEX393912 COT393912 CYP393912 DIL393912 DSH393912 ECD393912 ELZ393912 EVV393912 FFR393912 FPN393912 FZJ393912 GJF393912 GTB393912 HCX393912 HMT393912 HWP393912 IGL393912 IQH393912 JAD393912 JJZ393912 JTV393912 KDR393912 KNN393912 KXJ393912 LHF393912 LRB393912 MAX393912 MKT393912 MUP393912 NEL393912 NOH393912 NYD393912 OHZ393912 ORV393912 PBR393912 PLN393912 PVJ393912 QFF393912 QPB393912 QYX393912 RIT393912 RSP393912 SCL393912 SMH393912 SWD393912 TFZ393912 TPV393912 TZR393912 UJN393912 UTJ393912 VDF393912 VNB393912 VWX393912 WGT393912 WQP393912 ED459448 NZ459448 XV459448 AHR459448 ARN459448 BBJ459448 BLF459448 BVB459448 CEX459448 COT459448 CYP459448 DIL459448 DSH459448 ECD459448 ELZ459448 EVV459448 FFR459448 FPN459448 FZJ459448 GJF459448 GTB459448 HCX459448 HMT459448 HWP459448 IGL459448 IQH459448 JAD459448 JJZ459448 JTV459448 KDR459448 KNN459448 KXJ459448 LHF459448 LRB459448 MAX459448 MKT459448 MUP459448 NEL459448 NOH459448 NYD459448 OHZ459448 ORV459448 PBR459448 PLN459448 PVJ459448 QFF459448 QPB459448 QYX459448 RIT459448 RSP459448 SCL459448 SMH459448 SWD459448 TFZ459448 TPV459448 TZR459448 UJN459448 UTJ459448 VDF459448 VNB459448 VWX459448 WGT459448 WQP459448 ED524984 NZ524984 XV524984 AHR524984 ARN524984 BBJ524984 BLF524984 BVB524984 CEX524984 COT524984 CYP524984 DIL524984 DSH524984 ECD524984 ELZ524984 EVV524984 FFR524984 FPN524984 FZJ524984 GJF524984 GTB524984 HCX524984 HMT524984 HWP524984 IGL524984 IQH524984 JAD524984 JJZ524984 JTV524984 KDR524984 KNN524984 KXJ524984 LHF524984 LRB524984 MAX524984 MKT524984 MUP524984 NEL524984 NOH524984 NYD524984 OHZ524984 ORV524984 PBR524984 PLN524984 PVJ524984 QFF524984 QPB524984 QYX524984 RIT524984 RSP524984 SCL524984 SMH524984 SWD524984 TFZ524984 TPV524984 TZR524984 UJN524984 UTJ524984 VDF524984 VNB524984 VWX524984 WGT524984 WQP524984 ED590520 NZ590520 XV590520 AHR590520 ARN590520 BBJ590520 BLF590520 BVB590520 CEX590520 COT590520 CYP590520 DIL590520 DSH590520 ECD590520 ELZ590520 EVV590520 FFR590520 FPN590520 FZJ590520 GJF590520 GTB590520 HCX590520 HMT590520 HWP590520 IGL590520 IQH590520 JAD590520 JJZ590520 JTV590520 KDR590520 KNN590520 KXJ590520 LHF590520 LRB590520 MAX590520 MKT590520 MUP590520 NEL590520 NOH590520 NYD590520 OHZ590520 ORV590520 PBR590520 PLN590520 PVJ590520 QFF590520 QPB590520 QYX590520 RIT590520 RSP590520 SCL590520 SMH590520 SWD590520 TFZ590520 TPV590520 TZR590520 UJN590520 UTJ590520 VDF590520 VNB590520 VWX590520 WGT590520 WQP590520 ED656056 NZ656056 XV656056 AHR656056 ARN656056 BBJ656056 BLF656056 BVB656056 CEX656056 COT656056 CYP656056 DIL656056 DSH656056 ECD656056 ELZ656056 EVV656056 FFR656056 FPN656056 FZJ656056 GJF656056 GTB656056 HCX656056 HMT656056 HWP656056 IGL656056 IQH656056 JAD656056 JJZ656056 JTV656056 KDR656056 KNN656056 KXJ656056 LHF656056 LRB656056 MAX656056 MKT656056 MUP656056 NEL656056 NOH656056 NYD656056 OHZ656056 ORV656056 PBR656056 PLN656056 PVJ656056 QFF656056 QPB656056 QYX656056 RIT656056 RSP656056 SCL656056 SMH656056 SWD656056 TFZ656056 TPV656056 TZR656056 UJN656056 UTJ656056 VDF656056 VNB656056 VWX656056 WGT656056 WQP656056 ED721592 NZ721592 XV721592 AHR721592 ARN721592 BBJ721592 BLF721592 BVB721592 CEX721592 COT721592 CYP721592 DIL721592 DSH721592 ECD721592 ELZ721592 EVV721592 FFR721592 FPN721592 FZJ721592 GJF721592 GTB721592 HCX721592 HMT721592 HWP721592 IGL721592 IQH721592 JAD721592 JJZ721592 JTV721592 KDR721592 KNN721592 KXJ721592 LHF721592 LRB721592 MAX721592 MKT721592 MUP721592 NEL721592 NOH721592 NYD721592 OHZ721592 ORV721592 PBR721592 PLN721592 PVJ721592 QFF721592 QPB721592 QYX721592 RIT721592 RSP721592 SCL721592 SMH721592 SWD721592 TFZ721592 TPV721592 TZR721592 UJN721592 UTJ721592 VDF721592 VNB721592 VWX721592 WGT721592 WQP721592 ED787128 NZ787128 XV787128 AHR787128 ARN787128 BBJ787128 BLF787128 BVB787128 CEX787128 COT787128 CYP787128 DIL787128 DSH787128 ECD787128 ELZ787128 EVV787128 FFR787128 FPN787128 FZJ787128 GJF787128 GTB787128 HCX787128 HMT787128 HWP787128 IGL787128 IQH787128 JAD787128 JJZ787128 JTV787128 KDR787128 KNN787128 KXJ787128 LHF787128 LRB787128 MAX787128 MKT787128 MUP787128 NEL787128 NOH787128 NYD787128 OHZ787128 ORV787128 PBR787128 PLN787128 PVJ787128 QFF787128 QPB787128 QYX787128 RIT787128 RSP787128 SCL787128 SMH787128 SWD787128 TFZ787128 TPV787128 TZR787128 UJN787128 UTJ787128 VDF787128 VNB787128 VWX787128 WGT787128 WQP787128 ED852664 NZ852664 XV852664 AHR852664 ARN852664 BBJ852664 BLF852664 BVB852664 CEX852664 COT852664 CYP852664 DIL852664 DSH852664 ECD852664 ELZ852664 EVV852664 FFR852664 FPN852664 FZJ852664 GJF852664 GTB852664 HCX852664 HMT852664 HWP852664 IGL852664 IQH852664 JAD852664 JJZ852664 JTV852664 KDR852664 KNN852664 KXJ852664 LHF852664 LRB852664 MAX852664 MKT852664 MUP852664 NEL852664 NOH852664 NYD852664 OHZ852664 ORV852664 PBR852664 PLN852664 PVJ852664 QFF852664 QPB852664 QYX852664 RIT852664 RSP852664 SCL852664 SMH852664 SWD852664 TFZ852664 TPV852664 TZR852664 UJN852664 UTJ852664 VDF852664 VNB852664 VWX852664 WGT852664 WQP852664 ED918200 NZ918200 XV918200 AHR918200 ARN918200 BBJ918200 BLF918200 BVB918200 CEX918200 COT918200 CYP918200 DIL918200 DSH918200 ECD918200 ELZ918200 EVV918200 FFR918200 FPN918200 FZJ918200 GJF918200 GTB918200 HCX918200 HMT918200 HWP918200 IGL918200 IQH918200 JAD918200 JJZ918200 JTV918200 KDR918200 KNN918200 KXJ918200 LHF918200 LRB918200 MAX918200 MKT918200 MUP918200 NEL918200 NOH918200 NYD918200 OHZ918200 ORV918200 PBR918200 PLN918200 PVJ918200 QFF918200 QPB918200 QYX918200 RIT918200 RSP918200 SCL918200 SMH918200 SWD918200 TFZ918200 TPV918200 TZR918200 UJN918200 UTJ918200 VDF918200 VNB918200 VWX918200 WGT918200 WQP918200 ED983736 NZ983736 XV983736 AHR983736 ARN983736 BBJ983736 BLF983736 BVB983736 CEX983736 COT983736 CYP983736 DIL983736 DSH983736 ECD983736 ELZ983736 EVV983736 FFR983736 FPN983736 FZJ983736 GJF983736 GTB983736 HCX983736 HMT983736 HWP983736 IGL983736 IQH983736 JAD983736 JJZ983736 JTV983736 KDR983736 KNN983736 KXJ983736 LHF983736 LRB983736 MAX983736 MKT983736 MUP983736 NEL983736 NOH983736 NYD983736 OHZ983736 ORV983736 PBR983736 PLN983736 PVJ983736 QFF983736 QPB983736 QYX983736 RIT983736 RSP983736 SCL983736 SMH983736 SWD983736 TFZ983736 TPV983736 TZR983736 UJN983736 UTJ983736 VDF983736 VNB983736 VWX983736 WGT983736 WQP983736 ED66254 NZ66254 XV66254 AHR66254 ARN66254 BBJ66254 BLF66254 BVB66254 CEX66254 COT66254 CYP66254 DIL66254 DSH66254 ECD66254 ELZ66254 EVV66254 FFR66254 FPN66254 FZJ66254 GJF66254 GTB66254 HCX66254 HMT66254 HWP66254 IGL66254 IQH66254 JAD66254 JJZ66254 JTV66254 KDR66254 KNN66254 KXJ66254 LHF66254 LRB66254 MAX66254 MKT66254 MUP66254 NEL66254 NOH66254 NYD66254 OHZ66254 ORV66254 PBR66254 PLN66254 PVJ66254 QFF66254 QPB66254 QYX66254 RIT66254 RSP66254 SCL66254 SMH66254 SWD66254 TFZ66254 TPV66254 TZR66254 UJN66254 UTJ66254 VDF66254 VNB66254 VWX66254 WGT66254 WQP66254 ED131790 NZ131790 XV131790 AHR131790 ARN131790 BBJ131790 BLF131790 BVB131790 CEX131790 COT131790 CYP131790 DIL131790 DSH131790 ECD131790 ELZ131790 EVV131790 FFR131790 FPN131790 FZJ131790 GJF131790 GTB131790 HCX131790 HMT131790 HWP131790 IGL131790 IQH131790 JAD131790 JJZ131790 JTV131790 KDR131790 KNN131790 KXJ131790 LHF131790 LRB131790 MAX131790 MKT131790 MUP131790 NEL131790 NOH131790 NYD131790 OHZ131790 ORV131790 PBR131790 PLN131790 PVJ131790 QFF131790 QPB131790 QYX131790 RIT131790 RSP131790 SCL131790 SMH131790 SWD131790 TFZ131790 TPV131790 TZR131790 UJN131790 UTJ131790 VDF131790 VNB131790 VWX131790 WGT131790 WQP131790 ED197326 NZ197326 XV197326 AHR197326 ARN197326 BBJ197326 BLF197326 BVB197326 CEX197326 COT197326 CYP197326 DIL197326 DSH197326 ECD197326 ELZ197326 EVV197326 FFR197326 FPN197326 FZJ197326 GJF197326 GTB197326 HCX197326 HMT197326 HWP197326 IGL197326 IQH197326 JAD197326 JJZ197326 JTV197326 KDR197326 KNN197326 KXJ197326 LHF197326 LRB197326 MAX197326 MKT197326 MUP197326 NEL197326 NOH197326 NYD197326 OHZ197326 ORV197326 PBR197326 PLN197326 PVJ197326 QFF197326 QPB197326 QYX197326 RIT197326 RSP197326 SCL197326 SMH197326 SWD197326 TFZ197326 TPV197326 TZR197326 UJN197326 UTJ197326 VDF197326 VNB197326 VWX197326 WGT197326 WQP197326 ED262862 NZ262862 XV262862 AHR262862 ARN262862 BBJ262862 BLF262862 BVB262862 CEX262862 COT262862 CYP262862 DIL262862 DSH262862 ECD262862 ELZ262862 EVV262862 FFR262862 FPN262862 FZJ262862 GJF262862 GTB262862 HCX262862 HMT262862 HWP262862 IGL262862 IQH262862 JAD262862 JJZ262862 JTV262862 KDR262862 KNN262862 KXJ262862 LHF262862 LRB262862 MAX262862 MKT262862 MUP262862 NEL262862 NOH262862 NYD262862 OHZ262862 ORV262862 PBR262862 PLN262862 PVJ262862 QFF262862 QPB262862 QYX262862 RIT262862 RSP262862 SCL262862 SMH262862 SWD262862 TFZ262862 TPV262862 TZR262862 UJN262862 UTJ262862 VDF262862 VNB262862 VWX262862 WGT262862 WQP262862 ED328398 NZ328398 XV328398 AHR328398 ARN328398 BBJ328398 BLF328398 BVB328398 CEX328398 COT328398 CYP328398 DIL328398 DSH328398 ECD328398 ELZ328398 EVV328398 FFR328398 FPN328398 FZJ328398 GJF328398 GTB328398 HCX328398 HMT328398 HWP328398 IGL328398 IQH328398 JAD328398 JJZ328398 JTV328398 KDR328398 KNN328398 KXJ328398 LHF328398 LRB328398 MAX328398 MKT328398 MUP328398 NEL328398 NOH328398 NYD328398 OHZ328398 ORV328398 PBR328398 PLN328398 PVJ328398 QFF328398 QPB328398 QYX328398 RIT328398 RSP328398 SCL328398 SMH328398 SWD328398 TFZ328398 TPV328398 TZR328398 UJN328398 UTJ328398 VDF328398 VNB328398 VWX328398 WGT328398 WQP328398 ED393934 NZ393934 XV393934 AHR393934 ARN393934 BBJ393934 BLF393934 BVB393934 CEX393934 COT393934 CYP393934 DIL393934 DSH393934 ECD393934 ELZ393934 EVV393934 FFR393934 FPN393934 FZJ393934 GJF393934 GTB393934 HCX393934 HMT393934 HWP393934 IGL393934 IQH393934 JAD393934 JJZ393934 JTV393934 KDR393934 KNN393934 KXJ393934 LHF393934 LRB393934 MAX393934 MKT393934 MUP393934 NEL393934 NOH393934 NYD393934 OHZ393934 ORV393934 PBR393934 PLN393934 PVJ393934 QFF393934 QPB393934 QYX393934 RIT393934 RSP393934 SCL393934 SMH393934 SWD393934 TFZ393934 TPV393934 TZR393934 UJN393934 UTJ393934 VDF393934 VNB393934 VWX393934 WGT393934 WQP393934 ED459470 NZ459470 XV459470 AHR459470 ARN459470 BBJ459470 BLF459470 BVB459470 CEX459470 COT459470 CYP459470 DIL459470 DSH459470 ECD459470 ELZ459470 EVV459470 FFR459470 FPN459470 FZJ459470 GJF459470 GTB459470 HCX459470 HMT459470 HWP459470 IGL459470 IQH459470 JAD459470 JJZ459470 JTV459470 KDR459470 KNN459470 KXJ459470 LHF459470 LRB459470 MAX459470 MKT459470 MUP459470 NEL459470 NOH459470 NYD459470 OHZ459470 ORV459470 PBR459470 PLN459470 PVJ459470 QFF459470 QPB459470 QYX459470 RIT459470 RSP459470 SCL459470 SMH459470 SWD459470 TFZ459470 TPV459470 TZR459470 UJN459470 UTJ459470 VDF459470 VNB459470 VWX459470 WGT459470 WQP459470 ED525006 NZ525006 XV525006 AHR525006 ARN525006 BBJ525006 BLF525006 BVB525006 CEX525006 COT525006 CYP525006 DIL525006 DSH525006 ECD525006 ELZ525006 EVV525006 FFR525006 FPN525006 FZJ525006 GJF525006 GTB525006 HCX525006 HMT525006 HWP525006 IGL525006 IQH525006 JAD525006 JJZ525006 JTV525006 KDR525006 KNN525006 KXJ525006 LHF525006 LRB525006 MAX525006 MKT525006 MUP525006 NEL525006 NOH525006 NYD525006 OHZ525006 ORV525006 PBR525006 PLN525006 PVJ525006 QFF525006 QPB525006 QYX525006 RIT525006 RSP525006 SCL525006 SMH525006 SWD525006 TFZ525006 TPV525006 TZR525006 UJN525006 UTJ525006 VDF525006 VNB525006 VWX525006 WGT525006 WQP525006 ED590542 NZ590542 XV590542 AHR590542 ARN590542 BBJ590542 BLF590542 BVB590542 CEX590542 COT590542 CYP590542 DIL590542 DSH590542 ECD590542 ELZ590542 EVV590542 FFR590542 FPN590542 FZJ590542 GJF590542 GTB590542 HCX590542 HMT590542 HWP590542 IGL590542 IQH590542 JAD590542 JJZ590542 JTV590542 KDR590542 KNN590542 KXJ590542 LHF590542 LRB590542 MAX590542 MKT590542 MUP590542 NEL590542 NOH590542 NYD590542 OHZ590542 ORV590542 PBR590542 PLN590542 PVJ590542 QFF590542 QPB590542 QYX590542 RIT590542 RSP590542 SCL590542 SMH590542 SWD590542 TFZ590542 TPV590542 TZR590542 UJN590542 UTJ590542 VDF590542 VNB590542 VWX590542 WGT590542 WQP590542 ED656078 NZ656078 XV656078 AHR656078 ARN656078 BBJ656078 BLF656078 BVB656078 CEX656078 COT656078 CYP656078 DIL656078 DSH656078 ECD656078 ELZ656078 EVV656078 FFR656078 FPN656078 FZJ656078 GJF656078 GTB656078 HCX656078 HMT656078 HWP656078 IGL656078 IQH656078 JAD656078 JJZ656078 JTV656078 KDR656078 KNN656078 KXJ656078 LHF656078 LRB656078 MAX656078 MKT656078 MUP656078 NEL656078 NOH656078 NYD656078 OHZ656078 ORV656078 PBR656078 PLN656078 PVJ656078 QFF656078 QPB656078 QYX656078 RIT656078 RSP656078 SCL656078 SMH656078 SWD656078 TFZ656078 TPV656078 TZR656078 UJN656078 UTJ656078 VDF656078 VNB656078 VWX656078 WGT656078 WQP656078 ED721614 NZ721614 XV721614 AHR721614 ARN721614 BBJ721614 BLF721614 BVB721614 CEX721614 COT721614 CYP721614 DIL721614 DSH721614 ECD721614 ELZ721614 EVV721614 FFR721614 FPN721614 FZJ721614 GJF721614 GTB721614 HCX721614 HMT721614 HWP721614 IGL721614 IQH721614 JAD721614 JJZ721614 JTV721614 KDR721614 KNN721614 KXJ721614 LHF721614 LRB721614 MAX721614 MKT721614 MUP721614 NEL721614 NOH721614 NYD721614 OHZ721614 ORV721614 PBR721614 PLN721614 PVJ721614 QFF721614 QPB721614 QYX721614 RIT721614 RSP721614 SCL721614 SMH721614 SWD721614 TFZ721614 TPV721614 TZR721614 UJN721614 UTJ721614 VDF721614 VNB721614 VWX721614 WGT721614 WQP721614 ED787150 NZ787150 XV787150 AHR787150 ARN787150 BBJ787150 BLF787150 BVB787150 CEX787150 COT787150 CYP787150 DIL787150 DSH787150 ECD787150 ELZ787150 EVV787150 FFR787150 FPN787150 FZJ787150 GJF787150 GTB787150 HCX787150 HMT787150 HWP787150 IGL787150 IQH787150 JAD787150 JJZ787150 JTV787150 KDR787150 KNN787150 KXJ787150 LHF787150 LRB787150 MAX787150 MKT787150 MUP787150 NEL787150 NOH787150 NYD787150 OHZ787150 ORV787150 PBR787150 PLN787150 PVJ787150 QFF787150 QPB787150 QYX787150 RIT787150 RSP787150 SCL787150 SMH787150 SWD787150 TFZ787150 TPV787150 TZR787150 UJN787150 UTJ787150 VDF787150 VNB787150 VWX787150 WGT787150 WQP787150 ED852686 NZ852686 XV852686 AHR852686 ARN852686 BBJ852686 BLF852686 BVB852686 CEX852686 COT852686 CYP852686 DIL852686 DSH852686 ECD852686 ELZ852686 EVV852686 FFR852686 FPN852686 FZJ852686 GJF852686 GTB852686 HCX852686 HMT852686 HWP852686 IGL852686 IQH852686 JAD852686 JJZ852686 JTV852686 KDR852686 KNN852686 KXJ852686 LHF852686 LRB852686 MAX852686 MKT852686 MUP852686 NEL852686 NOH852686 NYD852686 OHZ852686 ORV852686 PBR852686 PLN852686 PVJ852686 QFF852686 QPB852686 QYX852686 RIT852686 RSP852686 SCL852686 SMH852686 SWD852686 TFZ852686 TPV852686 TZR852686 UJN852686 UTJ852686 VDF852686 VNB852686 VWX852686 WGT852686 WQP852686 ED918222 NZ918222 XV918222 AHR918222 ARN918222 BBJ918222 BLF918222 BVB918222 CEX918222 COT918222 CYP918222 DIL918222 DSH918222 ECD918222 ELZ918222 EVV918222 FFR918222 FPN918222 FZJ918222 GJF918222 GTB918222 HCX918222 HMT918222 HWP918222 IGL918222 IQH918222 JAD918222 JJZ918222 JTV918222 KDR918222 KNN918222 KXJ918222 LHF918222 LRB918222 MAX918222 MKT918222 MUP918222 NEL918222 NOH918222 NYD918222 OHZ918222 ORV918222 PBR918222 PLN918222 PVJ918222 QFF918222 QPB918222 QYX918222 RIT918222 RSP918222 SCL918222 SMH918222 SWD918222 TFZ918222 TPV918222 TZR918222 UJN918222 UTJ918222 VDF918222 VNB918222 VWX918222 WGT918222 WQP918222 ED983758 NZ983758 XV983758 AHR983758 ARN983758 BBJ983758 BLF983758 BVB983758 CEX983758 COT983758 CYP983758 DIL983758 DSH983758 ECD983758 ELZ983758 EVV983758 FFR983758 FPN983758 FZJ983758 GJF983758 GTB983758 HCX983758 HMT983758 HWP983758 IGL983758 IQH983758 JAD983758 JJZ983758 JTV983758 KDR983758 KNN983758 KXJ983758 LHF983758 LRB983758 MAX983758 MKT983758 MUP983758 NEL983758 NOH983758 NYD983758 OHZ983758 ORV983758 PBR983758 PLN983758 PVJ983758 QFF983758 QPB983758 QYX983758 RIT983758 RSP983758 SCL983758 SMH983758 SWD983758 TFZ983758 TPV983758 TZR983758 UJN983758 UTJ983758 VDF983758 VNB983758 VWX983758 WGT983758 WQP983758 ED66265:ED66273 NZ66265:NZ66273 XV66265:XV66273 AHR66265:AHR66273 ARN66265:ARN66273 BBJ66265:BBJ66273 BLF66265:BLF66273 BVB66265:BVB66273 CEX66265:CEX66273 COT66265:COT66273 CYP66265:CYP66273 DIL66265:DIL66273 DSH66265:DSH66273 ECD66265:ECD66273 ELZ66265:ELZ66273 EVV66265:EVV66273 FFR66265:FFR66273 FPN66265:FPN66273 FZJ66265:FZJ66273 GJF66265:GJF66273 GTB66265:GTB66273 HCX66265:HCX66273 HMT66265:HMT66273 HWP66265:HWP66273 IGL66265:IGL66273 IQH66265:IQH66273 JAD66265:JAD66273 JJZ66265:JJZ66273 JTV66265:JTV66273 KDR66265:KDR66273 KNN66265:KNN66273 KXJ66265:KXJ66273 LHF66265:LHF66273 LRB66265:LRB66273 MAX66265:MAX66273 MKT66265:MKT66273 MUP66265:MUP66273 NEL66265:NEL66273 NOH66265:NOH66273 NYD66265:NYD66273 OHZ66265:OHZ66273 ORV66265:ORV66273 PBR66265:PBR66273 PLN66265:PLN66273 PVJ66265:PVJ66273 QFF66265:QFF66273 QPB66265:QPB66273 QYX66265:QYX66273 RIT66265:RIT66273 RSP66265:RSP66273 SCL66265:SCL66273 SMH66265:SMH66273 SWD66265:SWD66273 TFZ66265:TFZ66273 TPV66265:TPV66273 TZR66265:TZR66273 UJN66265:UJN66273 UTJ66265:UTJ66273 VDF66265:VDF66273 VNB66265:VNB66273 VWX66265:VWX66273 WGT66265:WGT66273 WQP66265:WQP66273 ED131801:ED131809 NZ131801:NZ131809 XV131801:XV131809 AHR131801:AHR131809 ARN131801:ARN131809 BBJ131801:BBJ131809 BLF131801:BLF131809 BVB131801:BVB131809 CEX131801:CEX131809 COT131801:COT131809 CYP131801:CYP131809 DIL131801:DIL131809 DSH131801:DSH131809 ECD131801:ECD131809 ELZ131801:ELZ131809 EVV131801:EVV131809 FFR131801:FFR131809 FPN131801:FPN131809 FZJ131801:FZJ131809 GJF131801:GJF131809 GTB131801:GTB131809 HCX131801:HCX131809 HMT131801:HMT131809 HWP131801:HWP131809 IGL131801:IGL131809 IQH131801:IQH131809 JAD131801:JAD131809 JJZ131801:JJZ131809 JTV131801:JTV131809 KDR131801:KDR131809 KNN131801:KNN131809 KXJ131801:KXJ131809 LHF131801:LHF131809 LRB131801:LRB131809 MAX131801:MAX131809 MKT131801:MKT131809 MUP131801:MUP131809 NEL131801:NEL131809 NOH131801:NOH131809 NYD131801:NYD131809 OHZ131801:OHZ131809 ORV131801:ORV131809 PBR131801:PBR131809 PLN131801:PLN131809 PVJ131801:PVJ131809 QFF131801:QFF131809 QPB131801:QPB131809 QYX131801:QYX131809 RIT131801:RIT131809 RSP131801:RSP131809 SCL131801:SCL131809 SMH131801:SMH131809 SWD131801:SWD131809 TFZ131801:TFZ131809 TPV131801:TPV131809 TZR131801:TZR131809 UJN131801:UJN131809 UTJ131801:UTJ131809 VDF131801:VDF131809 VNB131801:VNB131809 VWX131801:VWX131809 WGT131801:WGT131809 WQP131801:WQP131809 ED197337:ED197345 NZ197337:NZ197345 XV197337:XV197345 AHR197337:AHR197345 ARN197337:ARN197345 BBJ197337:BBJ197345 BLF197337:BLF197345 BVB197337:BVB197345 CEX197337:CEX197345 COT197337:COT197345 CYP197337:CYP197345 DIL197337:DIL197345 DSH197337:DSH197345 ECD197337:ECD197345 ELZ197337:ELZ197345 EVV197337:EVV197345 FFR197337:FFR197345 FPN197337:FPN197345 FZJ197337:FZJ197345 GJF197337:GJF197345 GTB197337:GTB197345 HCX197337:HCX197345 HMT197337:HMT197345 HWP197337:HWP197345 IGL197337:IGL197345 IQH197337:IQH197345 JAD197337:JAD197345 JJZ197337:JJZ197345 JTV197337:JTV197345 KDR197337:KDR197345 KNN197337:KNN197345 KXJ197337:KXJ197345 LHF197337:LHF197345 LRB197337:LRB197345 MAX197337:MAX197345 MKT197337:MKT197345 MUP197337:MUP197345 NEL197337:NEL197345 NOH197337:NOH197345 NYD197337:NYD197345 OHZ197337:OHZ197345 ORV197337:ORV197345 PBR197337:PBR197345 PLN197337:PLN197345 PVJ197337:PVJ197345 QFF197337:QFF197345 QPB197337:QPB197345 QYX197337:QYX197345 RIT197337:RIT197345 RSP197337:RSP197345 SCL197337:SCL197345 SMH197337:SMH197345 SWD197337:SWD197345 TFZ197337:TFZ197345 TPV197337:TPV197345 TZR197337:TZR197345 UJN197337:UJN197345 UTJ197337:UTJ197345 VDF197337:VDF197345 VNB197337:VNB197345 VWX197337:VWX197345 WGT197337:WGT197345 WQP197337:WQP197345 ED262873:ED262881 NZ262873:NZ262881 XV262873:XV262881 AHR262873:AHR262881 ARN262873:ARN262881 BBJ262873:BBJ262881 BLF262873:BLF262881 BVB262873:BVB262881 CEX262873:CEX262881 COT262873:COT262881 CYP262873:CYP262881 DIL262873:DIL262881 DSH262873:DSH262881 ECD262873:ECD262881 ELZ262873:ELZ262881 EVV262873:EVV262881 FFR262873:FFR262881 FPN262873:FPN262881 FZJ262873:FZJ262881 GJF262873:GJF262881 GTB262873:GTB262881 HCX262873:HCX262881 HMT262873:HMT262881 HWP262873:HWP262881 IGL262873:IGL262881 IQH262873:IQH262881 JAD262873:JAD262881 JJZ262873:JJZ262881 JTV262873:JTV262881 KDR262873:KDR262881 KNN262873:KNN262881 KXJ262873:KXJ262881 LHF262873:LHF262881 LRB262873:LRB262881 MAX262873:MAX262881 MKT262873:MKT262881 MUP262873:MUP262881 NEL262873:NEL262881 NOH262873:NOH262881 NYD262873:NYD262881 OHZ262873:OHZ262881 ORV262873:ORV262881 PBR262873:PBR262881 PLN262873:PLN262881 PVJ262873:PVJ262881 QFF262873:QFF262881 QPB262873:QPB262881 QYX262873:QYX262881 RIT262873:RIT262881 RSP262873:RSP262881 SCL262873:SCL262881 SMH262873:SMH262881 SWD262873:SWD262881 TFZ262873:TFZ262881 TPV262873:TPV262881 TZR262873:TZR262881 UJN262873:UJN262881 UTJ262873:UTJ262881 VDF262873:VDF262881 VNB262873:VNB262881 VWX262873:VWX262881 WGT262873:WGT262881 WQP262873:WQP262881 ED328409:ED328417 NZ328409:NZ328417 XV328409:XV328417 AHR328409:AHR328417 ARN328409:ARN328417 BBJ328409:BBJ328417 BLF328409:BLF328417 BVB328409:BVB328417 CEX328409:CEX328417 COT328409:COT328417 CYP328409:CYP328417 DIL328409:DIL328417 DSH328409:DSH328417 ECD328409:ECD328417 ELZ328409:ELZ328417 EVV328409:EVV328417 FFR328409:FFR328417 FPN328409:FPN328417 FZJ328409:FZJ328417 GJF328409:GJF328417 GTB328409:GTB328417 HCX328409:HCX328417 HMT328409:HMT328417 HWP328409:HWP328417 IGL328409:IGL328417 IQH328409:IQH328417 JAD328409:JAD328417 JJZ328409:JJZ328417 JTV328409:JTV328417 KDR328409:KDR328417 KNN328409:KNN328417 KXJ328409:KXJ328417 LHF328409:LHF328417 LRB328409:LRB328417 MAX328409:MAX328417 MKT328409:MKT328417 MUP328409:MUP328417 NEL328409:NEL328417 NOH328409:NOH328417 NYD328409:NYD328417 OHZ328409:OHZ328417 ORV328409:ORV328417 PBR328409:PBR328417 PLN328409:PLN328417 PVJ328409:PVJ328417 QFF328409:QFF328417 QPB328409:QPB328417 QYX328409:QYX328417 RIT328409:RIT328417 RSP328409:RSP328417 SCL328409:SCL328417 SMH328409:SMH328417 SWD328409:SWD328417 TFZ328409:TFZ328417 TPV328409:TPV328417 TZR328409:TZR328417 UJN328409:UJN328417 UTJ328409:UTJ328417 VDF328409:VDF328417 VNB328409:VNB328417 VWX328409:VWX328417 WGT328409:WGT328417 WQP328409:WQP328417 ED393945:ED393953 NZ393945:NZ393953 XV393945:XV393953 AHR393945:AHR393953 ARN393945:ARN393953 BBJ393945:BBJ393953 BLF393945:BLF393953 BVB393945:BVB393953 CEX393945:CEX393953 COT393945:COT393953 CYP393945:CYP393953 DIL393945:DIL393953 DSH393945:DSH393953 ECD393945:ECD393953 ELZ393945:ELZ393953 EVV393945:EVV393953 FFR393945:FFR393953 FPN393945:FPN393953 FZJ393945:FZJ393953 GJF393945:GJF393953 GTB393945:GTB393953 HCX393945:HCX393953 HMT393945:HMT393953 HWP393945:HWP393953 IGL393945:IGL393953 IQH393945:IQH393953 JAD393945:JAD393953 JJZ393945:JJZ393953 JTV393945:JTV393953 KDR393945:KDR393953 KNN393945:KNN393953 KXJ393945:KXJ393953 LHF393945:LHF393953 LRB393945:LRB393953 MAX393945:MAX393953 MKT393945:MKT393953 MUP393945:MUP393953 NEL393945:NEL393953 NOH393945:NOH393953 NYD393945:NYD393953 OHZ393945:OHZ393953 ORV393945:ORV393953 PBR393945:PBR393953 PLN393945:PLN393953 PVJ393945:PVJ393953 QFF393945:QFF393953 QPB393945:QPB393953 QYX393945:QYX393953 RIT393945:RIT393953 RSP393945:RSP393953 SCL393945:SCL393953 SMH393945:SMH393953 SWD393945:SWD393953 TFZ393945:TFZ393953 TPV393945:TPV393953 TZR393945:TZR393953 UJN393945:UJN393953 UTJ393945:UTJ393953 VDF393945:VDF393953 VNB393945:VNB393953 VWX393945:VWX393953 WGT393945:WGT393953 WQP393945:WQP393953 ED459481:ED459489 NZ459481:NZ459489 XV459481:XV459489 AHR459481:AHR459489 ARN459481:ARN459489 BBJ459481:BBJ459489 BLF459481:BLF459489 BVB459481:BVB459489 CEX459481:CEX459489 COT459481:COT459489 CYP459481:CYP459489 DIL459481:DIL459489 DSH459481:DSH459489 ECD459481:ECD459489 ELZ459481:ELZ459489 EVV459481:EVV459489 FFR459481:FFR459489 FPN459481:FPN459489 FZJ459481:FZJ459489 GJF459481:GJF459489 GTB459481:GTB459489 HCX459481:HCX459489 HMT459481:HMT459489 HWP459481:HWP459489 IGL459481:IGL459489 IQH459481:IQH459489 JAD459481:JAD459489 JJZ459481:JJZ459489 JTV459481:JTV459489 KDR459481:KDR459489 KNN459481:KNN459489 KXJ459481:KXJ459489 LHF459481:LHF459489 LRB459481:LRB459489 MAX459481:MAX459489 MKT459481:MKT459489 MUP459481:MUP459489 NEL459481:NEL459489 NOH459481:NOH459489 NYD459481:NYD459489 OHZ459481:OHZ459489 ORV459481:ORV459489 PBR459481:PBR459489 PLN459481:PLN459489 PVJ459481:PVJ459489 QFF459481:QFF459489 QPB459481:QPB459489 QYX459481:QYX459489 RIT459481:RIT459489 RSP459481:RSP459489 SCL459481:SCL459489 SMH459481:SMH459489 SWD459481:SWD459489 TFZ459481:TFZ459489 TPV459481:TPV459489 TZR459481:TZR459489 UJN459481:UJN459489 UTJ459481:UTJ459489 VDF459481:VDF459489 VNB459481:VNB459489 VWX459481:VWX459489 WGT459481:WGT459489 WQP459481:WQP459489 ED525017:ED525025 NZ525017:NZ525025 XV525017:XV525025 AHR525017:AHR525025 ARN525017:ARN525025 BBJ525017:BBJ525025 BLF525017:BLF525025 BVB525017:BVB525025 CEX525017:CEX525025 COT525017:COT525025 CYP525017:CYP525025 DIL525017:DIL525025 DSH525017:DSH525025 ECD525017:ECD525025 ELZ525017:ELZ525025 EVV525017:EVV525025 FFR525017:FFR525025 FPN525017:FPN525025 FZJ525017:FZJ525025 GJF525017:GJF525025 GTB525017:GTB525025 HCX525017:HCX525025 HMT525017:HMT525025 HWP525017:HWP525025 IGL525017:IGL525025 IQH525017:IQH525025 JAD525017:JAD525025 JJZ525017:JJZ525025 JTV525017:JTV525025 KDR525017:KDR525025 KNN525017:KNN525025 KXJ525017:KXJ525025 LHF525017:LHF525025 LRB525017:LRB525025 MAX525017:MAX525025 MKT525017:MKT525025 MUP525017:MUP525025 NEL525017:NEL525025 NOH525017:NOH525025 NYD525017:NYD525025 OHZ525017:OHZ525025 ORV525017:ORV525025 PBR525017:PBR525025 PLN525017:PLN525025 PVJ525017:PVJ525025 QFF525017:QFF525025 QPB525017:QPB525025 QYX525017:QYX525025 RIT525017:RIT525025 RSP525017:RSP525025 SCL525017:SCL525025 SMH525017:SMH525025 SWD525017:SWD525025 TFZ525017:TFZ525025 TPV525017:TPV525025 TZR525017:TZR525025 UJN525017:UJN525025 UTJ525017:UTJ525025 VDF525017:VDF525025 VNB525017:VNB525025 VWX525017:VWX525025 WGT525017:WGT525025 WQP525017:WQP525025 ED590553:ED590561 NZ590553:NZ590561 XV590553:XV590561 AHR590553:AHR590561 ARN590553:ARN590561 BBJ590553:BBJ590561 BLF590553:BLF590561 BVB590553:BVB590561 CEX590553:CEX590561 COT590553:COT590561 CYP590553:CYP590561 DIL590553:DIL590561 DSH590553:DSH590561 ECD590553:ECD590561 ELZ590553:ELZ590561 EVV590553:EVV590561 FFR590553:FFR590561 FPN590553:FPN590561 FZJ590553:FZJ590561 GJF590553:GJF590561 GTB590553:GTB590561 HCX590553:HCX590561 HMT590553:HMT590561 HWP590553:HWP590561 IGL590553:IGL590561 IQH590553:IQH590561 JAD590553:JAD590561 JJZ590553:JJZ590561 JTV590553:JTV590561 KDR590553:KDR590561 KNN590553:KNN590561 KXJ590553:KXJ590561 LHF590553:LHF590561 LRB590553:LRB590561 MAX590553:MAX590561 MKT590553:MKT590561 MUP590553:MUP590561 NEL590553:NEL590561 NOH590553:NOH590561 NYD590553:NYD590561 OHZ590553:OHZ590561 ORV590553:ORV590561 PBR590553:PBR590561 PLN590553:PLN590561 PVJ590553:PVJ590561 QFF590553:QFF590561 QPB590553:QPB590561 QYX590553:QYX590561 RIT590553:RIT590561 RSP590553:RSP590561 SCL590553:SCL590561 SMH590553:SMH590561 SWD590553:SWD590561 TFZ590553:TFZ590561 TPV590553:TPV590561 TZR590553:TZR590561 UJN590553:UJN590561 UTJ590553:UTJ590561 VDF590553:VDF590561 VNB590553:VNB590561 VWX590553:VWX590561 WGT590553:WGT590561 WQP590553:WQP590561 ED656089:ED656097 NZ656089:NZ656097 XV656089:XV656097 AHR656089:AHR656097 ARN656089:ARN656097 BBJ656089:BBJ656097 BLF656089:BLF656097 BVB656089:BVB656097 CEX656089:CEX656097 COT656089:COT656097 CYP656089:CYP656097 DIL656089:DIL656097 DSH656089:DSH656097 ECD656089:ECD656097 ELZ656089:ELZ656097 EVV656089:EVV656097 FFR656089:FFR656097 FPN656089:FPN656097 FZJ656089:FZJ656097 GJF656089:GJF656097 GTB656089:GTB656097 HCX656089:HCX656097 HMT656089:HMT656097 HWP656089:HWP656097 IGL656089:IGL656097 IQH656089:IQH656097 JAD656089:JAD656097 JJZ656089:JJZ656097 JTV656089:JTV656097 KDR656089:KDR656097 KNN656089:KNN656097 KXJ656089:KXJ656097 LHF656089:LHF656097 LRB656089:LRB656097 MAX656089:MAX656097 MKT656089:MKT656097 MUP656089:MUP656097 NEL656089:NEL656097 NOH656089:NOH656097 NYD656089:NYD656097 OHZ656089:OHZ656097 ORV656089:ORV656097 PBR656089:PBR656097 PLN656089:PLN656097 PVJ656089:PVJ656097 QFF656089:QFF656097 QPB656089:QPB656097 QYX656089:QYX656097 RIT656089:RIT656097 RSP656089:RSP656097 SCL656089:SCL656097 SMH656089:SMH656097 SWD656089:SWD656097 TFZ656089:TFZ656097 TPV656089:TPV656097 TZR656089:TZR656097 UJN656089:UJN656097 UTJ656089:UTJ656097 VDF656089:VDF656097 VNB656089:VNB656097 VWX656089:VWX656097 WGT656089:WGT656097 WQP656089:WQP656097 ED721625:ED721633 NZ721625:NZ721633 XV721625:XV721633 AHR721625:AHR721633 ARN721625:ARN721633 BBJ721625:BBJ721633 BLF721625:BLF721633 BVB721625:BVB721633 CEX721625:CEX721633 COT721625:COT721633 CYP721625:CYP721633 DIL721625:DIL721633 DSH721625:DSH721633 ECD721625:ECD721633 ELZ721625:ELZ721633 EVV721625:EVV721633 FFR721625:FFR721633 FPN721625:FPN721633 FZJ721625:FZJ721633 GJF721625:GJF721633 GTB721625:GTB721633 HCX721625:HCX721633 HMT721625:HMT721633 HWP721625:HWP721633 IGL721625:IGL721633 IQH721625:IQH721633 JAD721625:JAD721633 JJZ721625:JJZ721633 JTV721625:JTV721633 KDR721625:KDR721633 KNN721625:KNN721633 KXJ721625:KXJ721633 LHF721625:LHF721633 LRB721625:LRB721633 MAX721625:MAX721633 MKT721625:MKT721633 MUP721625:MUP721633 NEL721625:NEL721633 NOH721625:NOH721633 NYD721625:NYD721633 OHZ721625:OHZ721633 ORV721625:ORV721633 PBR721625:PBR721633 PLN721625:PLN721633 PVJ721625:PVJ721633 QFF721625:QFF721633 QPB721625:QPB721633 QYX721625:QYX721633 RIT721625:RIT721633 RSP721625:RSP721633 SCL721625:SCL721633 SMH721625:SMH721633 SWD721625:SWD721633 TFZ721625:TFZ721633 TPV721625:TPV721633 TZR721625:TZR721633 UJN721625:UJN721633 UTJ721625:UTJ721633 VDF721625:VDF721633 VNB721625:VNB721633 VWX721625:VWX721633 WGT721625:WGT721633 WQP721625:WQP721633 ED787161:ED787169 NZ787161:NZ787169 XV787161:XV787169 AHR787161:AHR787169 ARN787161:ARN787169 BBJ787161:BBJ787169 BLF787161:BLF787169 BVB787161:BVB787169 CEX787161:CEX787169 COT787161:COT787169 CYP787161:CYP787169 DIL787161:DIL787169 DSH787161:DSH787169 ECD787161:ECD787169 ELZ787161:ELZ787169 EVV787161:EVV787169 FFR787161:FFR787169 FPN787161:FPN787169 FZJ787161:FZJ787169 GJF787161:GJF787169 GTB787161:GTB787169 HCX787161:HCX787169 HMT787161:HMT787169 HWP787161:HWP787169 IGL787161:IGL787169 IQH787161:IQH787169 JAD787161:JAD787169 JJZ787161:JJZ787169 JTV787161:JTV787169 KDR787161:KDR787169 KNN787161:KNN787169 KXJ787161:KXJ787169 LHF787161:LHF787169 LRB787161:LRB787169 MAX787161:MAX787169 MKT787161:MKT787169 MUP787161:MUP787169 NEL787161:NEL787169 NOH787161:NOH787169 NYD787161:NYD787169 OHZ787161:OHZ787169 ORV787161:ORV787169 PBR787161:PBR787169 PLN787161:PLN787169 PVJ787161:PVJ787169 QFF787161:QFF787169 QPB787161:QPB787169 QYX787161:QYX787169 RIT787161:RIT787169 RSP787161:RSP787169 SCL787161:SCL787169 SMH787161:SMH787169 SWD787161:SWD787169 TFZ787161:TFZ787169 TPV787161:TPV787169 TZR787161:TZR787169 UJN787161:UJN787169 UTJ787161:UTJ787169 VDF787161:VDF787169 VNB787161:VNB787169 VWX787161:VWX787169 WGT787161:WGT787169 WQP787161:WQP787169 ED852697:ED852705 NZ852697:NZ852705 XV852697:XV852705 AHR852697:AHR852705 ARN852697:ARN852705 BBJ852697:BBJ852705 BLF852697:BLF852705 BVB852697:BVB852705 CEX852697:CEX852705 COT852697:COT852705 CYP852697:CYP852705 DIL852697:DIL852705 DSH852697:DSH852705 ECD852697:ECD852705 ELZ852697:ELZ852705 EVV852697:EVV852705 FFR852697:FFR852705 FPN852697:FPN852705 FZJ852697:FZJ852705 GJF852697:GJF852705 GTB852697:GTB852705 HCX852697:HCX852705 HMT852697:HMT852705 HWP852697:HWP852705 IGL852697:IGL852705 IQH852697:IQH852705 JAD852697:JAD852705 JJZ852697:JJZ852705 JTV852697:JTV852705 KDR852697:KDR852705 KNN852697:KNN852705 KXJ852697:KXJ852705 LHF852697:LHF852705 LRB852697:LRB852705 MAX852697:MAX852705 MKT852697:MKT852705 MUP852697:MUP852705 NEL852697:NEL852705 NOH852697:NOH852705 NYD852697:NYD852705 OHZ852697:OHZ852705 ORV852697:ORV852705 PBR852697:PBR852705 PLN852697:PLN852705 PVJ852697:PVJ852705 QFF852697:QFF852705 QPB852697:QPB852705 QYX852697:QYX852705 RIT852697:RIT852705 RSP852697:RSP852705 SCL852697:SCL852705 SMH852697:SMH852705 SWD852697:SWD852705 TFZ852697:TFZ852705 TPV852697:TPV852705 TZR852697:TZR852705 UJN852697:UJN852705 UTJ852697:UTJ852705 VDF852697:VDF852705 VNB852697:VNB852705 VWX852697:VWX852705 WGT852697:WGT852705 WQP852697:WQP852705 ED918233:ED918241 NZ918233:NZ918241 XV918233:XV918241 AHR918233:AHR918241 ARN918233:ARN918241 BBJ918233:BBJ918241 BLF918233:BLF918241 BVB918233:BVB918241 CEX918233:CEX918241 COT918233:COT918241 CYP918233:CYP918241 DIL918233:DIL918241 DSH918233:DSH918241 ECD918233:ECD918241 ELZ918233:ELZ918241 EVV918233:EVV918241 FFR918233:FFR918241 FPN918233:FPN918241 FZJ918233:FZJ918241 GJF918233:GJF918241 GTB918233:GTB918241 HCX918233:HCX918241 HMT918233:HMT918241 HWP918233:HWP918241 IGL918233:IGL918241 IQH918233:IQH918241 JAD918233:JAD918241 JJZ918233:JJZ918241 JTV918233:JTV918241 KDR918233:KDR918241 KNN918233:KNN918241 KXJ918233:KXJ918241 LHF918233:LHF918241 LRB918233:LRB918241 MAX918233:MAX918241 MKT918233:MKT918241 MUP918233:MUP918241 NEL918233:NEL918241 NOH918233:NOH918241 NYD918233:NYD918241 OHZ918233:OHZ918241 ORV918233:ORV918241 PBR918233:PBR918241 PLN918233:PLN918241 PVJ918233:PVJ918241 QFF918233:QFF918241 QPB918233:QPB918241 QYX918233:QYX918241 RIT918233:RIT918241 RSP918233:RSP918241 SCL918233:SCL918241 SMH918233:SMH918241 SWD918233:SWD918241 TFZ918233:TFZ918241 TPV918233:TPV918241 TZR918233:TZR918241 UJN918233:UJN918241 UTJ918233:UTJ918241 VDF918233:VDF918241 VNB918233:VNB918241 VWX918233:VWX918241 WGT918233:WGT918241 WQP918233:WQP918241 ED983769:ED983777 NZ983769:NZ983777 XV983769:XV983777 AHR983769:AHR983777 ARN983769:ARN983777 BBJ983769:BBJ983777 BLF983769:BLF983777 BVB983769:BVB983777 CEX983769:CEX983777 COT983769:COT983777 CYP983769:CYP983777 DIL983769:DIL983777 DSH983769:DSH983777 ECD983769:ECD983777 ELZ983769:ELZ983777 EVV983769:EVV983777 FFR983769:FFR983777 FPN983769:FPN983777 FZJ983769:FZJ983777 GJF983769:GJF983777 GTB983769:GTB983777 HCX983769:HCX983777 HMT983769:HMT983777 HWP983769:HWP983777 IGL983769:IGL983777 IQH983769:IQH983777 JAD983769:JAD983777 JJZ983769:JJZ983777 JTV983769:JTV983777 KDR983769:KDR983777 KNN983769:KNN983777 KXJ983769:KXJ983777 LHF983769:LHF983777 LRB983769:LRB983777 MAX983769:MAX983777 MKT983769:MKT983777 MUP983769:MUP983777 NEL983769:NEL983777 NOH983769:NOH983777 NYD983769:NYD983777 OHZ983769:OHZ983777 ORV983769:ORV983777 PBR983769:PBR983777 PLN983769:PLN983777 PVJ983769:PVJ983777 QFF983769:QFF983777 QPB983769:QPB983777 QYX983769:QYX983777 RIT983769:RIT983777 RSP983769:RSP983777 SCL983769:SCL983777 SMH983769:SMH983777 SWD983769:SWD983777 TFZ983769:TFZ983777 TPV983769:TPV983777 TZR983769:TZR983777 UJN983769:UJN983777 UTJ983769:UTJ983777 VDF983769:VDF983777 VNB983769:VNB983777 VWX983769:VWX983777 WGT983769:WGT983777 WQP983769:WQP983777 ED66256:ED66263 NZ66256:NZ66263 XV66256:XV66263 AHR66256:AHR66263 ARN66256:ARN66263 BBJ66256:BBJ66263 BLF66256:BLF66263 BVB66256:BVB66263 CEX66256:CEX66263 COT66256:COT66263 CYP66256:CYP66263 DIL66256:DIL66263 DSH66256:DSH66263 ECD66256:ECD66263 ELZ66256:ELZ66263 EVV66256:EVV66263 FFR66256:FFR66263 FPN66256:FPN66263 FZJ66256:FZJ66263 GJF66256:GJF66263 GTB66256:GTB66263 HCX66256:HCX66263 HMT66256:HMT66263 HWP66256:HWP66263 IGL66256:IGL66263 IQH66256:IQH66263 JAD66256:JAD66263 JJZ66256:JJZ66263 JTV66256:JTV66263 KDR66256:KDR66263 KNN66256:KNN66263 KXJ66256:KXJ66263 LHF66256:LHF66263 LRB66256:LRB66263 MAX66256:MAX66263 MKT66256:MKT66263 MUP66256:MUP66263 NEL66256:NEL66263 NOH66256:NOH66263 NYD66256:NYD66263 OHZ66256:OHZ66263 ORV66256:ORV66263 PBR66256:PBR66263 PLN66256:PLN66263 PVJ66256:PVJ66263 QFF66256:QFF66263 QPB66256:QPB66263 QYX66256:QYX66263 RIT66256:RIT66263 RSP66256:RSP66263 SCL66256:SCL66263 SMH66256:SMH66263 SWD66256:SWD66263 TFZ66256:TFZ66263 TPV66256:TPV66263 TZR66256:TZR66263 UJN66256:UJN66263 UTJ66256:UTJ66263 VDF66256:VDF66263 VNB66256:VNB66263 VWX66256:VWX66263 WGT66256:WGT66263 WQP66256:WQP66263 ED131792:ED131799 NZ131792:NZ131799 XV131792:XV131799 AHR131792:AHR131799 ARN131792:ARN131799 BBJ131792:BBJ131799 BLF131792:BLF131799 BVB131792:BVB131799 CEX131792:CEX131799 COT131792:COT131799 CYP131792:CYP131799 DIL131792:DIL131799 DSH131792:DSH131799 ECD131792:ECD131799 ELZ131792:ELZ131799 EVV131792:EVV131799 FFR131792:FFR131799 FPN131792:FPN131799 FZJ131792:FZJ131799 GJF131792:GJF131799 GTB131792:GTB131799 HCX131792:HCX131799 HMT131792:HMT131799 HWP131792:HWP131799 IGL131792:IGL131799 IQH131792:IQH131799 JAD131792:JAD131799 JJZ131792:JJZ131799 JTV131792:JTV131799 KDR131792:KDR131799 KNN131792:KNN131799 KXJ131792:KXJ131799 LHF131792:LHF131799 LRB131792:LRB131799 MAX131792:MAX131799 MKT131792:MKT131799 MUP131792:MUP131799 NEL131792:NEL131799 NOH131792:NOH131799 NYD131792:NYD131799 OHZ131792:OHZ131799 ORV131792:ORV131799 PBR131792:PBR131799 PLN131792:PLN131799 PVJ131792:PVJ131799 QFF131792:QFF131799 QPB131792:QPB131799 QYX131792:QYX131799 RIT131792:RIT131799 RSP131792:RSP131799 SCL131792:SCL131799 SMH131792:SMH131799 SWD131792:SWD131799 TFZ131792:TFZ131799 TPV131792:TPV131799 TZR131792:TZR131799 UJN131792:UJN131799 UTJ131792:UTJ131799 VDF131792:VDF131799 VNB131792:VNB131799 VWX131792:VWX131799 WGT131792:WGT131799 WQP131792:WQP131799 ED197328:ED197335 NZ197328:NZ197335 XV197328:XV197335 AHR197328:AHR197335 ARN197328:ARN197335 BBJ197328:BBJ197335 BLF197328:BLF197335 BVB197328:BVB197335 CEX197328:CEX197335 COT197328:COT197335 CYP197328:CYP197335 DIL197328:DIL197335 DSH197328:DSH197335 ECD197328:ECD197335 ELZ197328:ELZ197335 EVV197328:EVV197335 FFR197328:FFR197335 FPN197328:FPN197335 FZJ197328:FZJ197335 GJF197328:GJF197335 GTB197328:GTB197335 HCX197328:HCX197335 HMT197328:HMT197335 HWP197328:HWP197335 IGL197328:IGL197335 IQH197328:IQH197335 JAD197328:JAD197335 JJZ197328:JJZ197335 JTV197328:JTV197335 KDR197328:KDR197335 KNN197328:KNN197335 KXJ197328:KXJ197335 LHF197328:LHF197335 LRB197328:LRB197335 MAX197328:MAX197335 MKT197328:MKT197335 MUP197328:MUP197335 NEL197328:NEL197335 NOH197328:NOH197335 NYD197328:NYD197335 OHZ197328:OHZ197335 ORV197328:ORV197335 PBR197328:PBR197335 PLN197328:PLN197335 PVJ197328:PVJ197335 QFF197328:QFF197335 QPB197328:QPB197335 QYX197328:QYX197335 RIT197328:RIT197335 RSP197328:RSP197335 SCL197328:SCL197335 SMH197328:SMH197335 SWD197328:SWD197335 TFZ197328:TFZ197335 TPV197328:TPV197335 TZR197328:TZR197335 UJN197328:UJN197335 UTJ197328:UTJ197335 VDF197328:VDF197335 VNB197328:VNB197335 VWX197328:VWX197335 WGT197328:WGT197335 WQP197328:WQP197335 ED262864:ED262871 NZ262864:NZ262871 XV262864:XV262871 AHR262864:AHR262871 ARN262864:ARN262871 BBJ262864:BBJ262871 BLF262864:BLF262871 BVB262864:BVB262871 CEX262864:CEX262871 COT262864:COT262871 CYP262864:CYP262871 DIL262864:DIL262871 DSH262864:DSH262871 ECD262864:ECD262871 ELZ262864:ELZ262871 EVV262864:EVV262871 FFR262864:FFR262871 FPN262864:FPN262871 FZJ262864:FZJ262871 GJF262864:GJF262871 GTB262864:GTB262871 HCX262864:HCX262871 HMT262864:HMT262871 HWP262864:HWP262871 IGL262864:IGL262871 IQH262864:IQH262871 JAD262864:JAD262871 JJZ262864:JJZ262871 JTV262864:JTV262871 KDR262864:KDR262871 KNN262864:KNN262871 KXJ262864:KXJ262871 LHF262864:LHF262871 LRB262864:LRB262871 MAX262864:MAX262871 MKT262864:MKT262871 MUP262864:MUP262871 NEL262864:NEL262871 NOH262864:NOH262871 NYD262864:NYD262871 OHZ262864:OHZ262871 ORV262864:ORV262871 PBR262864:PBR262871 PLN262864:PLN262871 PVJ262864:PVJ262871 QFF262864:QFF262871 QPB262864:QPB262871 QYX262864:QYX262871 RIT262864:RIT262871 RSP262864:RSP262871 SCL262864:SCL262871 SMH262864:SMH262871 SWD262864:SWD262871 TFZ262864:TFZ262871 TPV262864:TPV262871 TZR262864:TZR262871 UJN262864:UJN262871 UTJ262864:UTJ262871 VDF262864:VDF262871 VNB262864:VNB262871 VWX262864:VWX262871 WGT262864:WGT262871 WQP262864:WQP262871 ED328400:ED328407 NZ328400:NZ328407 XV328400:XV328407 AHR328400:AHR328407 ARN328400:ARN328407 BBJ328400:BBJ328407 BLF328400:BLF328407 BVB328400:BVB328407 CEX328400:CEX328407 COT328400:COT328407 CYP328400:CYP328407 DIL328400:DIL328407 DSH328400:DSH328407 ECD328400:ECD328407 ELZ328400:ELZ328407 EVV328400:EVV328407 FFR328400:FFR328407 FPN328400:FPN328407 FZJ328400:FZJ328407 GJF328400:GJF328407 GTB328400:GTB328407 HCX328400:HCX328407 HMT328400:HMT328407 HWP328400:HWP328407 IGL328400:IGL328407 IQH328400:IQH328407 JAD328400:JAD328407 JJZ328400:JJZ328407 JTV328400:JTV328407 KDR328400:KDR328407 KNN328400:KNN328407 KXJ328400:KXJ328407 LHF328400:LHF328407 LRB328400:LRB328407 MAX328400:MAX328407 MKT328400:MKT328407 MUP328400:MUP328407 NEL328400:NEL328407 NOH328400:NOH328407 NYD328400:NYD328407 OHZ328400:OHZ328407 ORV328400:ORV328407 PBR328400:PBR328407 PLN328400:PLN328407 PVJ328400:PVJ328407 QFF328400:QFF328407 QPB328400:QPB328407 QYX328400:QYX328407 RIT328400:RIT328407 RSP328400:RSP328407 SCL328400:SCL328407 SMH328400:SMH328407 SWD328400:SWD328407 TFZ328400:TFZ328407 TPV328400:TPV328407 TZR328400:TZR328407 UJN328400:UJN328407 UTJ328400:UTJ328407 VDF328400:VDF328407 VNB328400:VNB328407 VWX328400:VWX328407 WGT328400:WGT328407 WQP328400:WQP328407 ED393936:ED393943 NZ393936:NZ393943 XV393936:XV393943 AHR393936:AHR393943 ARN393936:ARN393943 BBJ393936:BBJ393943 BLF393936:BLF393943 BVB393936:BVB393943 CEX393936:CEX393943 COT393936:COT393943 CYP393936:CYP393943 DIL393936:DIL393943 DSH393936:DSH393943 ECD393936:ECD393943 ELZ393936:ELZ393943 EVV393936:EVV393943 FFR393936:FFR393943 FPN393936:FPN393943 FZJ393936:FZJ393943 GJF393936:GJF393943 GTB393936:GTB393943 HCX393936:HCX393943 HMT393936:HMT393943 HWP393936:HWP393943 IGL393936:IGL393943 IQH393936:IQH393943 JAD393936:JAD393943 JJZ393936:JJZ393943 JTV393936:JTV393943 KDR393936:KDR393943 KNN393936:KNN393943 KXJ393936:KXJ393943 LHF393936:LHF393943 LRB393936:LRB393943 MAX393936:MAX393943 MKT393936:MKT393943 MUP393936:MUP393943 NEL393936:NEL393943 NOH393936:NOH393943 NYD393936:NYD393943 OHZ393936:OHZ393943 ORV393936:ORV393943 PBR393936:PBR393943 PLN393936:PLN393943 PVJ393936:PVJ393943 QFF393936:QFF393943 QPB393936:QPB393943 QYX393936:QYX393943 RIT393936:RIT393943 RSP393936:RSP393943 SCL393936:SCL393943 SMH393936:SMH393943 SWD393936:SWD393943 TFZ393936:TFZ393943 TPV393936:TPV393943 TZR393936:TZR393943 UJN393936:UJN393943 UTJ393936:UTJ393943 VDF393936:VDF393943 VNB393936:VNB393943 VWX393936:VWX393943 WGT393936:WGT393943 WQP393936:WQP393943 ED459472:ED459479 NZ459472:NZ459479 XV459472:XV459479 AHR459472:AHR459479 ARN459472:ARN459479 BBJ459472:BBJ459479 BLF459472:BLF459479 BVB459472:BVB459479 CEX459472:CEX459479 COT459472:COT459479 CYP459472:CYP459479 DIL459472:DIL459479 DSH459472:DSH459479 ECD459472:ECD459479 ELZ459472:ELZ459479 EVV459472:EVV459479 FFR459472:FFR459479 FPN459472:FPN459479 FZJ459472:FZJ459479 GJF459472:GJF459479 GTB459472:GTB459479 HCX459472:HCX459479 HMT459472:HMT459479 HWP459472:HWP459479 IGL459472:IGL459479 IQH459472:IQH459479 JAD459472:JAD459479 JJZ459472:JJZ459479 JTV459472:JTV459479 KDR459472:KDR459479 KNN459472:KNN459479 KXJ459472:KXJ459479 LHF459472:LHF459479 LRB459472:LRB459479 MAX459472:MAX459479 MKT459472:MKT459479 MUP459472:MUP459479 NEL459472:NEL459479 NOH459472:NOH459479 NYD459472:NYD459479 OHZ459472:OHZ459479 ORV459472:ORV459479 PBR459472:PBR459479 PLN459472:PLN459479 PVJ459472:PVJ459479 QFF459472:QFF459479 QPB459472:QPB459479 QYX459472:QYX459479 RIT459472:RIT459479 RSP459472:RSP459479 SCL459472:SCL459479 SMH459472:SMH459479 SWD459472:SWD459479 TFZ459472:TFZ459479 TPV459472:TPV459479 TZR459472:TZR459479 UJN459472:UJN459479 UTJ459472:UTJ459479 VDF459472:VDF459479 VNB459472:VNB459479 VWX459472:VWX459479 WGT459472:WGT459479 WQP459472:WQP459479 ED525008:ED525015 NZ525008:NZ525015 XV525008:XV525015 AHR525008:AHR525015 ARN525008:ARN525015 BBJ525008:BBJ525015 BLF525008:BLF525015 BVB525008:BVB525015 CEX525008:CEX525015 COT525008:COT525015 CYP525008:CYP525015 DIL525008:DIL525015 DSH525008:DSH525015 ECD525008:ECD525015 ELZ525008:ELZ525015 EVV525008:EVV525015 FFR525008:FFR525015 FPN525008:FPN525015 FZJ525008:FZJ525015 GJF525008:GJF525015 GTB525008:GTB525015 HCX525008:HCX525015 HMT525008:HMT525015 HWP525008:HWP525015 IGL525008:IGL525015 IQH525008:IQH525015 JAD525008:JAD525015 JJZ525008:JJZ525015 JTV525008:JTV525015 KDR525008:KDR525015 KNN525008:KNN525015 KXJ525008:KXJ525015 LHF525008:LHF525015 LRB525008:LRB525015 MAX525008:MAX525015 MKT525008:MKT525015 MUP525008:MUP525015 NEL525008:NEL525015 NOH525008:NOH525015 NYD525008:NYD525015 OHZ525008:OHZ525015 ORV525008:ORV525015 PBR525008:PBR525015 PLN525008:PLN525015 PVJ525008:PVJ525015 QFF525008:QFF525015 QPB525008:QPB525015 QYX525008:QYX525015 RIT525008:RIT525015 RSP525008:RSP525015 SCL525008:SCL525015 SMH525008:SMH525015 SWD525008:SWD525015 TFZ525008:TFZ525015 TPV525008:TPV525015 TZR525008:TZR525015 UJN525008:UJN525015 UTJ525008:UTJ525015 VDF525008:VDF525015 VNB525008:VNB525015 VWX525008:VWX525015 WGT525008:WGT525015 WQP525008:WQP525015 ED590544:ED590551 NZ590544:NZ590551 XV590544:XV590551 AHR590544:AHR590551 ARN590544:ARN590551 BBJ590544:BBJ590551 BLF590544:BLF590551 BVB590544:BVB590551 CEX590544:CEX590551 COT590544:COT590551 CYP590544:CYP590551 DIL590544:DIL590551 DSH590544:DSH590551 ECD590544:ECD590551 ELZ590544:ELZ590551 EVV590544:EVV590551 FFR590544:FFR590551 FPN590544:FPN590551 FZJ590544:FZJ590551 GJF590544:GJF590551 GTB590544:GTB590551 HCX590544:HCX590551 HMT590544:HMT590551 HWP590544:HWP590551 IGL590544:IGL590551 IQH590544:IQH590551 JAD590544:JAD590551 JJZ590544:JJZ590551 JTV590544:JTV590551 KDR590544:KDR590551 KNN590544:KNN590551 KXJ590544:KXJ590551 LHF590544:LHF590551 LRB590544:LRB590551 MAX590544:MAX590551 MKT590544:MKT590551 MUP590544:MUP590551 NEL590544:NEL590551 NOH590544:NOH590551 NYD590544:NYD590551 OHZ590544:OHZ590551 ORV590544:ORV590551 PBR590544:PBR590551 PLN590544:PLN590551 PVJ590544:PVJ590551 QFF590544:QFF590551 QPB590544:QPB590551 QYX590544:QYX590551 RIT590544:RIT590551 RSP590544:RSP590551 SCL590544:SCL590551 SMH590544:SMH590551 SWD590544:SWD590551 TFZ590544:TFZ590551 TPV590544:TPV590551 TZR590544:TZR590551 UJN590544:UJN590551 UTJ590544:UTJ590551 VDF590544:VDF590551 VNB590544:VNB590551 VWX590544:VWX590551 WGT590544:WGT590551 WQP590544:WQP590551 ED656080:ED656087 NZ656080:NZ656087 XV656080:XV656087 AHR656080:AHR656087 ARN656080:ARN656087 BBJ656080:BBJ656087 BLF656080:BLF656087 BVB656080:BVB656087 CEX656080:CEX656087 COT656080:COT656087 CYP656080:CYP656087 DIL656080:DIL656087 DSH656080:DSH656087 ECD656080:ECD656087 ELZ656080:ELZ656087 EVV656080:EVV656087 FFR656080:FFR656087 FPN656080:FPN656087 FZJ656080:FZJ656087 GJF656080:GJF656087 GTB656080:GTB656087 HCX656080:HCX656087 HMT656080:HMT656087 HWP656080:HWP656087 IGL656080:IGL656087 IQH656080:IQH656087 JAD656080:JAD656087 JJZ656080:JJZ656087 JTV656080:JTV656087 KDR656080:KDR656087 KNN656080:KNN656087 KXJ656080:KXJ656087 LHF656080:LHF656087 LRB656080:LRB656087 MAX656080:MAX656087 MKT656080:MKT656087 MUP656080:MUP656087 NEL656080:NEL656087 NOH656080:NOH656087 NYD656080:NYD656087 OHZ656080:OHZ656087 ORV656080:ORV656087 PBR656080:PBR656087 PLN656080:PLN656087 PVJ656080:PVJ656087 QFF656080:QFF656087 QPB656080:QPB656087 QYX656080:QYX656087 RIT656080:RIT656087 RSP656080:RSP656087 SCL656080:SCL656087 SMH656080:SMH656087 SWD656080:SWD656087 TFZ656080:TFZ656087 TPV656080:TPV656087 TZR656080:TZR656087 UJN656080:UJN656087 UTJ656080:UTJ656087 VDF656080:VDF656087 VNB656080:VNB656087 VWX656080:VWX656087 WGT656080:WGT656087 WQP656080:WQP656087 ED721616:ED721623 NZ721616:NZ721623 XV721616:XV721623 AHR721616:AHR721623 ARN721616:ARN721623 BBJ721616:BBJ721623 BLF721616:BLF721623 BVB721616:BVB721623 CEX721616:CEX721623 COT721616:COT721623 CYP721616:CYP721623 DIL721616:DIL721623 DSH721616:DSH721623 ECD721616:ECD721623 ELZ721616:ELZ721623 EVV721616:EVV721623 FFR721616:FFR721623 FPN721616:FPN721623 FZJ721616:FZJ721623 GJF721616:GJF721623 GTB721616:GTB721623 HCX721616:HCX721623 HMT721616:HMT721623 HWP721616:HWP721623 IGL721616:IGL721623 IQH721616:IQH721623 JAD721616:JAD721623 JJZ721616:JJZ721623 JTV721616:JTV721623 KDR721616:KDR721623 KNN721616:KNN721623 KXJ721616:KXJ721623 LHF721616:LHF721623 LRB721616:LRB721623 MAX721616:MAX721623 MKT721616:MKT721623 MUP721616:MUP721623 NEL721616:NEL721623 NOH721616:NOH721623 NYD721616:NYD721623 OHZ721616:OHZ721623 ORV721616:ORV721623 PBR721616:PBR721623 PLN721616:PLN721623 PVJ721616:PVJ721623 QFF721616:QFF721623 QPB721616:QPB721623 QYX721616:QYX721623 RIT721616:RIT721623 RSP721616:RSP721623 SCL721616:SCL721623 SMH721616:SMH721623 SWD721616:SWD721623 TFZ721616:TFZ721623 TPV721616:TPV721623 TZR721616:TZR721623 UJN721616:UJN721623 UTJ721616:UTJ721623 VDF721616:VDF721623 VNB721616:VNB721623 VWX721616:VWX721623 WGT721616:WGT721623 WQP721616:WQP721623 ED787152:ED787159 NZ787152:NZ787159 XV787152:XV787159 AHR787152:AHR787159 ARN787152:ARN787159 BBJ787152:BBJ787159 BLF787152:BLF787159 BVB787152:BVB787159 CEX787152:CEX787159 COT787152:COT787159 CYP787152:CYP787159 DIL787152:DIL787159 DSH787152:DSH787159 ECD787152:ECD787159 ELZ787152:ELZ787159 EVV787152:EVV787159 FFR787152:FFR787159 FPN787152:FPN787159 FZJ787152:FZJ787159 GJF787152:GJF787159 GTB787152:GTB787159 HCX787152:HCX787159 HMT787152:HMT787159 HWP787152:HWP787159 IGL787152:IGL787159 IQH787152:IQH787159 JAD787152:JAD787159 JJZ787152:JJZ787159 JTV787152:JTV787159 KDR787152:KDR787159 KNN787152:KNN787159 KXJ787152:KXJ787159 LHF787152:LHF787159 LRB787152:LRB787159 MAX787152:MAX787159 MKT787152:MKT787159 MUP787152:MUP787159 NEL787152:NEL787159 NOH787152:NOH787159 NYD787152:NYD787159 OHZ787152:OHZ787159 ORV787152:ORV787159 PBR787152:PBR787159 PLN787152:PLN787159 PVJ787152:PVJ787159 QFF787152:QFF787159 QPB787152:QPB787159 QYX787152:QYX787159 RIT787152:RIT787159 RSP787152:RSP787159 SCL787152:SCL787159 SMH787152:SMH787159 SWD787152:SWD787159 TFZ787152:TFZ787159 TPV787152:TPV787159 TZR787152:TZR787159 UJN787152:UJN787159 UTJ787152:UTJ787159 VDF787152:VDF787159 VNB787152:VNB787159 VWX787152:VWX787159 WGT787152:WGT787159 WQP787152:WQP787159 ED852688:ED852695 NZ852688:NZ852695 XV852688:XV852695 AHR852688:AHR852695 ARN852688:ARN852695 BBJ852688:BBJ852695 BLF852688:BLF852695 BVB852688:BVB852695 CEX852688:CEX852695 COT852688:COT852695 CYP852688:CYP852695 DIL852688:DIL852695 DSH852688:DSH852695 ECD852688:ECD852695 ELZ852688:ELZ852695 EVV852688:EVV852695 FFR852688:FFR852695 FPN852688:FPN852695 FZJ852688:FZJ852695 GJF852688:GJF852695 GTB852688:GTB852695 HCX852688:HCX852695 HMT852688:HMT852695 HWP852688:HWP852695 IGL852688:IGL852695 IQH852688:IQH852695 JAD852688:JAD852695 JJZ852688:JJZ852695 JTV852688:JTV852695 KDR852688:KDR852695 KNN852688:KNN852695 KXJ852688:KXJ852695 LHF852688:LHF852695 LRB852688:LRB852695 MAX852688:MAX852695 MKT852688:MKT852695 MUP852688:MUP852695 NEL852688:NEL852695 NOH852688:NOH852695 NYD852688:NYD852695 OHZ852688:OHZ852695 ORV852688:ORV852695 PBR852688:PBR852695 PLN852688:PLN852695 PVJ852688:PVJ852695 QFF852688:QFF852695 QPB852688:QPB852695 QYX852688:QYX852695 RIT852688:RIT852695 RSP852688:RSP852695 SCL852688:SCL852695 SMH852688:SMH852695 SWD852688:SWD852695 TFZ852688:TFZ852695 TPV852688:TPV852695 TZR852688:TZR852695 UJN852688:UJN852695 UTJ852688:UTJ852695 VDF852688:VDF852695 VNB852688:VNB852695 VWX852688:VWX852695 WGT852688:WGT852695 WQP852688:WQP852695 ED918224:ED918231 NZ918224:NZ918231 XV918224:XV918231 AHR918224:AHR918231 ARN918224:ARN918231 BBJ918224:BBJ918231 BLF918224:BLF918231 BVB918224:BVB918231 CEX918224:CEX918231 COT918224:COT918231 CYP918224:CYP918231 DIL918224:DIL918231 DSH918224:DSH918231 ECD918224:ECD918231 ELZ918224:ELZ918231 EVV918224:EVV918231 FFR918224:FFR918231 FPN918224:FPN918231 FZJ918224:FZJ918231 GJF918224:GJF918231 GTB918224:GTB918231 HCX918224:HCX918231 HMT918224:HMT918231 HWP918224:HWP918231 IGL918224:IGL918231 IQH918224:IQH918231 JAD918224:JAD918231 JJZ918224:JJZ918231 JTV918224:JTV918231 KDR918224:KDR918231 KNN918224:KNN918231 KXJ918224:KXJ918231 LHF918224:LHF918231 LRB918224:LRB918231 MAX918224:MAX918231 MKT918224:MKT918231 MUP918224:MUP918231 NEL918224:NEL918231 NOH918224:NOH918231 NYD918224:NYD918231 OHZ918224:OHZ918231 ORV918224:ORV918231 PBR918224:PBR918231 PLN918224:PLN918231 PVJ918224:PVJ918231 QFF918224:QFF918231 QPB918224:QPB918231 QYX918224:QYX918231 RIT918224:RIT918231 RSP918224:RSP918231 SCL918224:SCL918231 SMH918224:SMH918231 SWD918224:SWD918231 TFZ918224:TFZ918231 TPV918224:TPV918231 TZR918224:TZR918231 UJN918224:UJN918231 UTJ918224:UTJ918231 VDF918224:VDF918231 VNB918224:VNB918231 VWX918224:VWX918231 WGT918224:WGT918231 WQP918224:WQP918231 ED983760:ED983767 NZ983760:NZ983767 XV983760:XV983767 AHR983760:AHR983767 ARN983760:ARN983767 BBJ983760:BBJ983767 BLF983760:BLF983767 BVB983760:BVB983767 CEX983760:CEX983767 COT983760:COT983767 CYP983760:CYP983767 DIL983760:DIL983767 DSH983760:DSH983767 ECD983760:ECD983767 ELZ983760:ELZ983767 EVV983760:EVV983767 FFR983760:FFR983767 FPN983760:FPN983767 FZJ983760:FZJ983767 GJF983760:GJF983767 GTB983760:GTB983767 HCX983760:HCX983767 HMT983760:HMT983767 HWP983760:HWP983767 IGL983760:IGL983767 IQH983760:IQH983767 JAD983760:JAD983767 JJZ983760:JJZ983767 JTV983760:JTV983767 KDR983760:KDR983767 KNN983760:KNN983767 KXJ983760:KXJ983767 LHF983760:LHF983767 LRB983760:LRB983767 MAX983760:MAX983767 MKT983760:MKT983767 MUP983760:MUP983767 NEL983760:NEL983767 NOH983760:NOH983767 NYD983760:NYD983767 OHZ983760:OHZ983767 ORV983760:ORV983767 PBR983760:PBR983767 PLN983760:PLN983767 PVJ983760:PVJ983767 QFF983760:QFF983767 QPB983760:QPB983767 QYX983760:QYX983767 RIT983760:RIT983767 RSP983760:RSP983767 SCL983760:SCL983767 SMH983760:SMH983767 SWD983760:SWD983767 TFZ983760:TFZ983767 TPV983760:TPV983767 TZR983760:TZR983767 UJN983760:UJN983767 UTJ983760:UTJ983767 VDF983760:VDF983767 VNB983760:VNB983767 VWX983760:VWX983767 WGT983760:WGT983767 WQP983760:WQP983767 ED66203:ED66205 NZ66203:NZ66205 XV66203:XV66205 AHR66203:AHR66205 ARN66203:ARN66205 BBJ66203:BBJ66205 BLF66203:BLF66205 BVB66203:BVB66205 CEX66203:CEX66205 COT66203:COT66205 CYP66203:CYP66205 DIL66203:DIL66205 DSH66203:DSH66205 ECD66203:ECD66205 ELZ66203:ELZ66205 EVV66203:EVV66205 FFR66203:FFR66205 FPN66203:FPN66205 FZJ66203:FZJ66205 GJF66203:GJF66205 GTB66203:GTB66205 HCX66203:HCX66205 HMT66203:HMT66205 HWP66203:HWP66205 IGL66203:IGL66205 IQH66203:IQH66205 JAD66203:JAD66205 JJZ66203:JJZ66205 JTV66203:JTV66205 KDR66203:KDR66205 KNN66203:KNN66205 KXJ66203:KXJ66205 LHF66203:LHF66205 LRB66203:LRB66205 MAX66203:MAX66205 MKT66203:MKT66205 MUP66203:MUP66205 NEL66203:NEL66205 NOH66203:NOH66205 NYD66203:NYD66205 OHZ66203:OHZ66205 ORV66203:ORV66205 PBR66203:PBR66205 PLN66203:PLN66205 PVJ66203:PVJ66205 QFF66203:QFF66205 QPB66203:QPB66205 QYX66203:QYX66205 RIT66203:RIT66205 RSP66203:RSP66205 SCL66203:SCL66205 SMH66203:SMH66205 SWD66203:SWD66205 TFZ66203:TFZ66205 TPV66203:TPV66205 TZR66203:TZR66205 UJN66203:UJN66205 UTJ66203:UTJ66205 VDF66203:VDF66205 VNB66203:VNB66205 VWX66203:VWX66205 WGT66203:WGT66205 WQP66203:WQP66205 ED131739:ED131741 NZ131739:NZ131741 XV131739:XV131741 AHR131739:AHR131741 ARN131739:ARN131741 BBJ131739:BBJ131741 BLF131739:BLF131741 BVB131739:BVB131741 CEX131739:CEX131741 COT131739:COT131741 CYP131739:CYP131741 DIL131739:DIL131741 DSH131739:DSH131741 ECD131739:ECD131741 ELZ131739:ELZ131741 EVV131739:EVV131741 FFR131739:FFR131741 FPN131739:FPN131741 FZJ131739:FZJ131741 GJF131739:GJF131741 GTB131739:GTB131741 HCX131739:HCX131741 HMT131739:HMT131741 HWP131739:HWP131741 IGL131739:IGL131741 IQH131739:IQH131741 JAD131739:JAD131741 JJZ131739:JJZ131741 JTV131739:JTV131741 KDR131739:KDR131741 KNN131739:KNN131741 KXJ131739:KXJ131741 LHF131739:LHF131741 LRB131739:LRB131741 MAX131739:MAX131741 MKT131739:MKT131741 MUP131739:MUP131741 NEL131739:NEL131741 NOH131739:NOH131741 NYD131739:NYD131741 OHZ131739:OHZ131741 ORV131739:ORV131741 PBR131739:PBR131741 PLN131739:PLN131741 PVJ131739:PVJ131741 QFF131739:QFF131741 QPB131739:QPB131741 QYX131739:QYX131741 RIT131739:RIT131741 RSP131739:RSP131741 SCL131739:SCL131741 SMH131739:SMH131741 SWD131739:SWD131741 TFZ131739:TFZ131741 TPV131739:TPV131741 TZR131739:TZR131741 UJN131739:UJN131741 UTJ131739:UTJ131741 VDF131739:VDF131741 VNB131739:VNB131741 VWX131739:VWX131741 WGT131739:WGT131741 WQP131739:WQP131741 ED197275:ED197277 NZ197275:NZ197277 XV197275:XV197277 AHR197275:AHR197277 ARN197275:ARN197277 BBJ197275:BBJ197277 BLF197275:BLF197277 BVB197275:BVB197277 CEX197275:CEX197277 COT197275:COT197277 CYP197275:CYP197277 DIL197275:DIL197277 DSH197275:DSH197277 ECD197275:ECD197277 ELZ197275:ELZ197277 EVV197275:EVV197277 FFR197275:FFR197277 FPN197275:FPN197277 FZJ197275:FZJ197277 GJF197275:GJF197277 GTB197275:GTB197277 HCX197275:HCX197277 HMT197275:HMT197277 HWP197275:HWP197277 IGL197275:IGL197277 IQH197275:IQH197277 JAD197275:JAD197277 JJZ197275:JJZ197277 JTV197275:JTV197277 KDR197275:KDR197277 KNN197275:KNN197277 KXJ197275:KXJ197277 LHF197275:LHF197277 LRB197275:LRB197277 MAX197275:MAX197277 MKT197275:MKT197277 MUP197275:MUP197277 NEL197275:NEL197277 NOH197275:NOH197277 NYD197275:NYD197277 OHZ197275:OHZ197277 ORV197275:ORV197277 PBR197275:PBR197277 PLN197275:PLN197277 PVJ197275:PVJ197277 QFF197275:QFF197277 QPB197275:QPB197277 QYX197275:QYX197277 RIT197275:RIT197277 RSP197275:RSP197277 SCL197275:SCL197277 SMH197275:SMH197277 SWD197275:SWD197277 TFZ197275:TFZ197277 TPV197275:TPV197277 TZR197275:TZR197277 UJN197275:UJN197277 UTJ197275:UTJ197277 VDF197275:VDF197277 VNB197275:VNB197277 VWX197275:VWX197277 WGT197275:WGT197277 WQP197275:WQP197277 ED262811:ED262813 NZ262811:NZ262813 XV262811:XV262813 AHR262811:AHR262813 ARN262811:ARN262813 BBJ262811:BBJ262813 BLF262811:BLF262813 BVB262811:BVB262813 CEX262811:CEX262813 COT262811:COT262813 CYP262811:CYP262813 DIL262811:DIL262813 DSH262811:DSH262813 ECD262811:ECD262813 ELZ262811:ELZ262813 EVV262811:EVV262813 FFR262811:FFR262813 FPN262811:FPN262813 FZJ262811:FZJ262813 GJF262811:GJF262813 GTB262811:GTB262813 HCX262811:HCX262813 HMT262811:HMT262813 HWP262811:HWP262813 IGL262811:IGL262813 IQH262811:IQH262813 JAD262811:JAD262813 JJZ262811:JJZ262813 JTV262811:JTV262813 KDR262811:KDR262813 KNN262811:KNN262813 KXJ262811:KXJ262813 LHF262811:LHF262813 LRB262811:LRB262813 MAX262811:MAX262813 MKT262811:MKT262813 MUP262811:MUP262813 NEL262811:NEL262813 NOH262811:NOH262813 NYD262811:NYD262813 OHZ262811:OHZ262813 ORV262811:ORV262813 PBR262811:PBR262813 PLN262811:PLN262813 PVJ262811:PVJ262813 QFF262811:QFF262813 QPB262811:QPB262813 QYX262811:QYX262813 RIT262811:RIT262813 RSP262811:RSP262813 SCL262811:SCL262813 SMH262811:SMH262813 SWD262811:SWD262813 TFZ262811:TFZ262813 TPV262811:TPV262813 TZR262811:TZR262813 UJN262811:UJN262813 UTJ262811:UTJ262813 VDF262811:VDF262813 VNB262811:VNB262813 VWX262811:VWX262813 WGT262811:WGT262813 WQP262811:WQP262813 ED328347:ED328349 NZ328347:NZ328349 XV328347:XV328349 AHR328347:AHR328349 ARN328347:ARN328349 BBJ328347:BBJ328349 BLF328347:BLF328349 BVB328347:BVB328349 CEX328347:CEX328349 COT328347:COT328349 CYP328347:CYP328349 DIL328347:DIL328349 DSH328347:DSH328349 ECD328347:ECD328349 ELZ328347:ELZ328349 EVV328347:EVV328349 FFR328347:FFR328349 FPN328347:FPN328349 FZJ328347:FZJ328349 GJF328347:GJF328349 GTB328347:GTB328349 HCX328347:HCX328349 HMT328347:HMT328349 HWP328347:HWP328349 IGL328347:IGL328349 IQH328347:IQH328349 JAD328347:JAD328349 JJZ328347:JJZ328349 JTV328347:JTV328349 KDR328347:KDR328349 KNN328347:KNN328349 KXJ328347:KXJ328349 LHF328347:LHF328349 LRB328347:LRB328349 MAX328347:MAX328349 MKT328347:MKT328349 MUP328347:MUP328349 NEL328347:NEL328349 NOH328347:NOH328349 NYD328347:NYD328349 OHZ328347:OHZ328349 ORV328347:ORV328349 PBR328347:PBR328349 PLN328347:PLN328349 PVJ328347:PVJ328349 QFF328347:QFF328349 QPB328347:QPB328349 QYX328347:QYX328349 RIT328347:RIT328349 RSP328347:RSP328349 SCL328347:SCL328349 SMH328347:SMH328349 SWD328347:SWD328349 TFZ328347:TFZ328349 TPV328347:TPV328349 TZR328347:TZR328349 UJN328347:UJN328349 UTJ328347:UTJ328349 VDF328347:VDF328349 VNB328347:VNB328349 VWX328347:VWX328349 WGT328347:WGT328349 WQP328347:WQP328349 ED393883:ED393885 NZ393883:NZ393885 XV393883:XV393885 AHR393883:AHR393885 ARN393883:ARN393885 BBJ393883:BBJ393885 BLF393883:BLF393885 BVB393883:BVB393885 CEX393883:CEX393885 COT393883:COT393885 CYP393883:CYP393885 DIL393883:DIL393885 DSH393883:DSH393885 ECD393883:ECD393885 ELZ393883:ELZ393885 EVV393883:EVV393885 FFR393883:FFR393885 FPN393883:FPN393885 FZJ393883:FZJ393885 GJF393883:GJF393885 GTB393883:GTB393885 HCX393883:HCX393885 HMT393883:HMT393885 HWP393883:HWP393885 IGL393883:IGL393885 IQH393883:IQH393885 JAD393883:JAD393885 JJZ393883:JJZ393885 JTV393883:JTV393885 KDR393883:KDR393885 KNN393883:KNN393885 KXJ393883:KXJ393885 LHF393883:LHF393885 LRB393883:LRB393885 MAX393883:MAX393885 MKT393883:MKT393885 MUP393883:MUP393885 NEL393883:NEL393885 NOH393883:NOH393885 NYD393883:NYD393885 OHZ393883:OHZ393885 ORV393883:ORV393885 PBR393883:PBR393885 PLN393883:PLN393885 PVJ393883:PVJ393885 QFF393883:QFF393885 QPB393883:QPB393885 QYX393883:QYX393885 RIT393883:RIT393885 RSP393883:RSP393885 SCL393883:SCL393885 SMH393883:SMH393885 SWD393883:SWD393885 TFZ393883:TFZ393885 TPV393883:TPV393885 TZR393883:TZR393885 UJN393883:UJN393885 UTJ393883:UTJ393885 VDF393883:VDF393885 VNB393883:VNB393885 VWX393883:VWX393885 WGT393883:WGT393885 WQP393883:WQP393885 ED459419:ED459421 NZ459419:NZ459421 XV459419:XV459421 AHR459419:AHR459421 ARN459419:ARN459421 BBJ459419:BBJ459421 BLF459419:BLF459421 BVB459419:BVB459421 CEX459419:CEX459421 COT459419:COT459421 CYP459419:CYP459421 DIL459419:DIL459421 DSH459419:DSH459421 ECD459419:ECD459421 ELZ459419:ELZ459421 EVV459419:EVV459421 FFR459419:FFR459421 FPN459419:FPN459421 FZJ459419:FZJ459421 GJF459419:GJF459421 GTB459419:GTB459421 HCX459419:HCX459421 HMT459419:HMT459421 HWP459419:HWP459421 IGL459419:IGL459421 IQH459419:IQH459421 JAD459419:JAD459421 JJZ459419:JJZ459421 JTV459419:JTV459421 KDR459419:KDR459421 KNN459419:KNN459421 KXJ459419:KXJ459421 LHF459419:LHF459421 LRB459419:LRB459421 MAX459419:MAX459421 MKT459419:MKT459421 MUP459419:MUP459421 NEL459419:NEL459421 NOH459419:NOH459421 NYD459419:NYD459421 OHZ459419:OHZ459421 ORV459419:ORV459421 PBR459419:PBR459421 PLN459419:PLN459421 PVJ459419:PVJ459421 QFF459419:QFF459421 QPB459419:QPB459421 QYX459419:QYX459421 RIT459419:RIT459421 RSP459419:RSP459421 SCL459419:SCL459421 SMH459419:SMH459421 SWD459419:SWD459421 TFZ459419:TFZ459421 TPV459419:TPV459421 TZR459419:TZR459421 UJN459419:UJN459421 UTJ459419:UTJ459421 VDF459419:VDF459421 VNB459419:VNB459421 VWX459419:VWX459421 WGT459419:WGT459421 WQP459419:WQP459421 ED524955:ED524957 NZ524955:NZ524957 XV524955:XV524957 AHR524955:AHR524957 ARN524955:ARN524957 BBJ524955:BBJ524957 BLF524955:BLF524957 BVB524955:BVB524957 CEX524955:CEX524957 COT524955:COT524957 CYP524955:CYP524957 DIL524955:DIL524957 DSH524955:DSH524957 ECD524955:ECD524957 ELZ524955:ELZ524957 EVV524955:EVV524957 FFR524955:FFR524957 FPN524955:FPN524957 FZJ524955:FZJ524957 GJF524955:GJF524957 GTB524955:GTB524957 HCX524955:HCX524957 HMT524955:HMT524957 HWP524955:HWP524957 IGL524955:IGL524957 IQH524955:IQH524957 JAD524955:JAD524957 JJZ524955:JJZ524957 JTV524955:JTV524957 KDR524955:KDR524957 KNN524955:KNN524957 KXJ524955:KXJ524957 LHF524955:LHF524957 LRB524955:LRB524957 MAX524955:MAX524957 MKT524955:MKT524957 MUP524955:MUP524957 NEL524955:NEL524957 NOH524955:NOH524957 NYD524955:NYD524957 OHZ524955:OHZ524957 ORV524955:ORV524957 PBR524955:PBR524957 PLN524955:PLN524957 PVJ524955:PVJ524957 QFF524955:QFF524957 QPB524955:QPB524957 QYX524955:QYX524957 RIT524955:RIT524957 RSP524955:RSP524957 SCL524955:SCL524957 SMH524955:SMH524957 SWD524955:SWD524957 TFZ524955:TFZ524957 TPV524955:TPV524957 TZR524955:TZR524957 UJN524955:UJN524957 UTJ524955:UTJ524957 VDF524955:VDF524957 VNB524955:VNB524957 VWX524955:VWX524957 WGT524955:WGT524957 WQP524955:WQP524957 ED590491:ED590493 NZ590491:NZ590493 XV590491:XV590493 AHR590491:AHR590493 ARN590491:ARN590493 BBJ590491:BBJ590493 BLF590491:BLF590493 BVB590491:BVB590493 CEX590491:CEX590493 COT590491:COT590493 CYP590491:CYP590493 DIL590491:DIL590493 DSH590491:DSH590493 ECD590491:ECD590493 ELZ590491:ELZ590493 EVV590491:EVV590493 FFR590491:FFR590493 FPN590491:FPN590493 FZJ590491:FZJ590493 GJF590491:GJF590493 GTB590491:GTB590493 HCX590491:HCX590493 HMT590491:HMT590493 HWP590491:HWP590493 IGL590491:IGL590493 IQH590491:IQH590493 JAD590491:JAD590493 JJZ590491:JJZ590493 JTV590491:JTV590493 KDR590491:KDR590493 KNN590491:KNN590493 KXJ590491:KXJ590493 LHF590491:LHF590493 LRB590491:LRB590493 MAX590491:MAX590493 MKT590491:MKT590493 MUP590491:MUP590493 NEL590491:NEL590493 NOH590491:NOH590493 NYD590491:NYD590493 OHZ590491:OHZ590493 ORV590491:ORV590493 PBR590491:PBR590493 PLN590491:PLN590493 PVJ590491:PVJ590493 QFF590491:QFF590493 QPB590491:QPB590493 QYX590491:QYX590493 RIT590491:RIT590493 RSP590491:RSP590493 SCL590491:SCL590493 SMH590491:SMH590493 SWD590491:SWD590493 TFZ590491:TFZ590493 TPV590491:TPV590493 TZR590491:TZR590493 UJN590491:UJN590493 UTJ590491:UTJ590493 VDF590491:VDF590493 VNB590491:VNB590493 VWX590491:VWX590493 WGT590491:WGT590493 WQP590491:WQP590493 ED656027:ED656029 NZ656027:NZ656029 XV656027:XV656029 AHR656027:AHR656029 ARN656027:ARN656029 BBJ656027:BBJ656029 BLF656027:BLF656029 BVB656027:BVB656029 CEX656027:CEX656029 COT656027:COT656029 CYP656027:CYP656029 DIL656027:DIL656029 DSH656027:DSH656029 ECD656027:ECD656029 ELZ656027:ELZ656029 EVV656027:EVV656029 FFR656027:FFR656029 FPN656027:FPN656029 FZJ656027:FZJ656029 GJF656027:GJF656029 GTB656027:GTB656029 HCX656027:HCX656029 HMT656027:HMT656029 HWP656027:HWP656029 IGL656027:IGL656029 IQH656027:IQH656029 JAD656027:JAD656029 JJZ656027:JJZ656029 JTV656027:JTV656029 KDR656027:KDR656029 KNN656027:KNN656029 KXJ656027:KXJ656029 LHF656027:LHF656029 LRB656027:LRB656029 MAX656027:MAX656029 MKT656027:MKT656029 MUP656027:MUP656029 NEL656027:NEL656029 NOH656027:NOH656029 NYD656027:NYD656029 OHZ656027:OHZ656029 ORV656027:ORV656029 PBR656027:PBR656029 PLN656027:PLN656029 PVJ656027:PVJ656029 QFF656027:QFF656029 QPB656027:QPB656029 QYX656027:QYX656029 RIT656027:RIT656029 RSP656027:RSP656029 SCL656027:SCL656029 SMH656027:SMH656029 SWD656027:SWD656029 TFZ656027:TFZ656029 TPV656027:TPV656029 TZR656027:TZR656029 UJN656027:UJN656029 UTJ656027:UTJ656029 VDF656027:VDF656029 VNB656027:VNB656029 VWX656027:VWX656029 WGT656027:WGT656029 WQP656027:WQP656029 ED721563:ED721565 NZ721563:NZ721565 XV721563:XV721565 AHR721563:AHR721565 ARN721563:ARN721565 BBJ721563:BBJ721565 BLF721563:BLF721565 BVB721563:BVB721565 CEX721563:CEX721565 COT721563:COT721565 CYP721563:CYP721565 DIL721563:DIL721565 DSH721563:DSH721565 ECD721563:ECD721565 ELZ721563:ELZ721565 EVV721563:EVV721565 FFR721563:FFR721565 FPN721563:FPN721565 FZJ721563:FZJ721565 GJF721563:GJF721565 GTB721563:GTB721565 HCX721563:HCX721565 HMT721563:HMT721565 HWP721563:HWP721565 IGL721563:IGL721565 IQH721563:IQH721565 JAD721563:JAD721565 JJZ721563:JJZ721565 JTV721563:JTV721565 KDR721563:KDR721565 KNN721563:KNN721565 KXJ721563:KXJ721565 LHF721563:LHF721565 LRB721563:LRB721565 MAX721563:MAX721565 MKT721563:MKT721565 MUP721563:MUP721565 NEL721563:NEL721565 NOH721563:NOH721565 NYD721563:NYD721565 OHZ721563:OHZ721565 ORV721563:ORV721565 PBR721563:PBR721565 PLN721563:PLN721565 PVJ721563:PVJ721565 QFF721563:QFF721565 QPB721563:QPB721565 QYX721563:QYX721565 RIT721563:RIT721565 RSP721563:RSP721565 SCL721563:SCL721565 SMH721563:SMH721565 SWD721563:SWD721565 TFZ721563:TFZ721565 TPV721563:TPV721565 TZR721563:TZR721565 UJN721563:UJN721565 UTJ721563:UTJ721565 VDF721563:VDF721565 VNB721563:VNB721565 VWX721563:VWX721565 WGT721563:WGT721565 WQP721563:WQP721565 ED787099:ED787101 NZ787099:NZ787101 XV787099:XV787101 AHR787099:AHR787101 ARN787099:ARN787101 BBJ787099:BBJ787101 BLF787099:BLF787101 BVB787099:BVB787101 CEX787099:CEX787101 COT787099:COT787101 CYP787099:CYP787101 DIL787099:DIL787101 DSH787099:DSH787101 ECD787099:ECD787101 ELZ787099:ELZ787101 EVV787099:EVV787101 FFR787099:FFR787101 FPN787099:FPN787101 FZJ787099:FZJ787101 GJF787099:GJF787101 GTB787099:GTB787101 HCX787099:HCX787101 HMT787099:HMT787101 HWP787099:HWP787101 IGL787099:IGL787101 IQH787099:IQH787101 JAD787099:JAD787101 JJZ787099:JJZ787101 JTV787099:JTV787101 KDR787099:KDR787101 KNN787099:KNN787101 KXJ787099:KXJ787101 LHF787099:LHF787101 LRB787099:LRB787101 MAX787099:MAX787101 MKT787099:MKT787101 MUP787099:MUP787101 NEL787099:NEL787101 NOH787099:NOH787101 NYD787099:NYD787101 OHZ787099:OHZ787101 ORV787099:ORV787101 PBR787099:PBR787101 PLN787099:PLN787101 PVJ787099:PVJ787101 QFF787099:QFF787101 QPB787099:QPB787101 QYX787099:QYX787101 RIT787099:RIT787101 RSP787099:RSP787101 SCL787099:SCL787101 SMH787099:SMH787101 SWD787099:SWD787101 TFZ787099:TFZ787101 TPV787099:TPV787101 TZR787099:TZR787101 UJN787099:UJN787101 UTJ787099:UTJ787101 VDF787099:VDF787101 VNB787099:VNB787101 VWX787099:VWX787101 WGT787099:WGT787101 WQP787099:WQP787101 ED852635:ED852637 NZ852635:NZ852637 XV852635:XV852637 AHR852635:AHR852637 ARN852635:ARN852637 BBJ852635:BBJ852637 BLF852635:BLF852637 BVB852635:BVB852637 CEX852635:CEX852637 COT852635:COT852637 CYP852635:CYP852637 DIL852635:DIL852637 DSH852635:DSH852637 ECD852635:ECD852637 ELZ852635:ELZ852637 EVV852635:EVV852637 FFR852635:FFR852637 FPN852635:FPN852637 FZJ852635:FZJ852637 GJF852635:GJF852637 GTB852635:GTB852637 HCX852635:HCX852637 HMT852635:HMT852637 HWP852635:HWP852637 IGL852635:IGL852637 IQH852635:IQH852637 JAD852635:JAD852637 JJZ852635:JJZ852637 JTV852635:JTV852637 KDR852635:KDR852637 KNN852635:KNN852637 KXJ852635:KXJ852637 LHF852635:LHF852637 LRB852635:LRB852637 MAX852635:MAX852637 MKT852635:MKT852637 MUP852635:MUP852637 NEL852635:NEL852637 NOH852635:NOH852637 NYD852635:NYD852637 OHZ852635:OHZ852637 ORV852635:ORV852637 PBR852635:PBR852637 PLN852635:PLN852637 PVJ852635:PVJ852637 QFF852635:QFF852637 QPB852635:QPB852637 QYX852635:QYX852637 RIT852635:RIT852637 RSP852635:RSP852637 SCL852635:SCL852637 SMH852635:SMH852637 SWD852635:SWD852637 TFZ852635:TFZ852637 TPV852635:TPV852637 TZR852635:TZR852637 UJN852635:UJN852637 UTJ852635:UTJ852637 VDF852635:VDF852637 VNB852635:VNB852637 VWX852635:VWX852637 WGT852635:WGT852637 WQP852635:WQP852637 ED918171:ED918173 NZ918171:NZ918173 XV918171:XV918173 AHR918171:AHR918173 ARN918171:ARN918173 BBJ918171:BBJ918173 BLF918171:BLF918173 BVB918171:BVB918173 CEX918171:CEX918173 COT918171:COT918173 CYP918171:CYP918173 DIL918171:DIL918173 DSH918171:DSH918173 ECD918171:ECD918173 ELZ918171:ELZ918173 EVV918171:EVV918173 FFR918171:FFR918173 FPN918171:FPN918173 FZJ918171:FZJ918173 GJF918171:GJF918173 GTB918171:GTB918173 HCX918171:HCX918173 HMT918171:HMT918173 HWP918171:HWP918173 IGL918171:IGL918173 IQH918171:IQH918173 JAD918171:JAD918173 JJZ918171:JJZ918173 JTV918171:JTV918173 KDR918171:KDR918173 KNN918171:KNN918173 KXJ918171:KXJ918173 LHF918171:LHF918173 LRB918171:LRB918173 MAX918171:MAX918173 MKT918171:MKT918173 MUP918171:MUP918173 NEL918171:NEL918173 NOH918171:NOH918173 NYD918171:NYD918173 OHZ918171:OHZ918173 ORV918171:ORV918173 PBR918171:PBR918173 PLN918171:PLN918173 PVJ918171:PVJ918173 QFF918171:QFF918173 QPB918171:QPB918173 QYX918171:QYX918173 RIT918171:RIT918173 RSP918171:RSP918173 SCL918171:SCL918173 SMH918171:SMH918173 SWD918171:SWD918173 TFZ918171:TFZ918173 TPV918171:TPV918173 TZR918171:TZR918173 UJN918171:UJN918173 UTJ918171:UTJ918173 VDF918171:VDF918173 VNB918171:VNB918173 VWX918171:VWX918173 WGT918171:WGT918173 WQP918171:WQP918173 ED983707:ED983709 NZ983707:NZ983709 XV983707:XV983709 AHR983707:AHR983709 ARN983707:ARN983709 BBJ983707:BBJ983709 BLF983707:BLF983709 BVB983707:BVB983709 CEX983707:CEX983709 COT983707:COT983709 CYP983707:CYP983709 DIL983707:DIL983709 DSH983707:DSH983709 ECD983707:ECD983709 ELZ983707:ELZ983709 EVV983707:EVV983709 FFR983707:FFR983709 FPN983707:FPN983709 FZJ983707:FZJ983709 GJF983707:GJF983709 GTB983707:GTB983709 HCX983707:HCX983709 HMT983707:HMT983709 HWP983707:HWP983709 IGL983707:IGL983709 IQH983707:IQH983709 JAD983707:JAD983709 JJZ983707:JJZ983709 JTV983707:JTV983709 KDR983707:KDR983709 KNN983707:KNN983709 KXJ983707:KXJ983709 LHF983707:LHF983709 LRB983707:LRB983709 MAX983707:MAX983709 MKT983707:MKT983709 MUP983707:MUP983709 NEL983707:NEL983709 NOH983707:NOH983709 NYD983707:NYD983709 OHZ983707:OHZ983709 ORV983707:ORV983709 PBR983707:PBR983709 PLN983707:PLN983709 PVJ983707:PVJ983709 QFF983707:QFF983709 QPB983707:QPB983709 QYX983707:QYX983709 RIT983707:RIT983709 RSP983707:RSP983709 SCL983707:SCL983709 SMH983707:SMH983709 SWD983707:SWD983709 TFZ983707:TFZ983709 TPV983707:TPV983709 TZR983707:TZR983709 UJN983707:UJN983709 UTJ983707:UTJ983709 VDF983707:VDF983709 VNB983707:VNB983709 VWX983707:VWX983709 WGT983707:WGT983709 WQP983707:WQP983709 ED66207:ED66221 NZ66207:NZ66221 XV66207:XV66221 AHR66207:AHR66221 ARN66207:ARN66221 BBJ66207:BBJ66221 BLF66207:BLF66221 BVB66207:BVB66221 CEX66207:CEX66221 COT66207:COT66221 CYP66207:CYP66221 DIL66207:DIL66221 DSH66207:DSH66221 ECD66207:ECD66221 ELZ66207:ELZ66221 EVV66207:EVV66221 FFR66207:FFR66221 FPN66207:FPN66221 FZJ66207:FZJ66221 GJF66207:GJF66221 GTB66207:GTB66221 HCX66207:HCX66221 HMT66207:HMT66221 HWP66207:HWP66221 IGL66207:IGL66221 IQH66207:IQH66221 JAD66207:JAD66221 JJZ66207:JJZ66221 JTV66207:JTV66221 KDR66207:KDR66221 KNN66207:KNN66221 KXJ66207:KXJ66221 LHF66207:LHF66221 LRB66207:LRB66221 MAX66207:MAX66221 MKT66207:MKT66221 MUP66207:MUP66221 NEL66207:NEL66221 NOH66207:NOH66221 NYD66207:NYD66221 OHZ66207:OHZ66221 ORV66207:ORV66221 PBR66207:PBR66221 PLN66207:PLN66221 PVJ66207:PVJ66221 QFF66207:QFF66221 QPB66207:QPB66221 QYX66207:QYX66221 RIT66207:RIT66221 RSP66207:RSP66221 SCL66207:SCL66221 SMH66207:SMH66221 SWD66207:SWD66221 TFZ66207:TFZ66221 TPV66207:TPV66221 TZR66207:TZR66221 UJN66207:UJN66221 UTJ66207:UTJ66221 VDF66207:VDF66221 VNB66207:VNB66221 VWX66207:VWX66221 WGT66207:WGT66221 WQP66207:WQP66221 ED131743:ED131757 NZ131743:NZ131757 XV131743:XV131757 AHR131743:AHR131757 ARN131743:ARN131757 BBJ131743:BBJ131757 BLF131743:BLF131757 BVB131743:BVB131757 CEX131743:CEX131757 COT131743:COT131757 CYP131743:CYP131757 DIL131743:DIL131757 DSH131743:DSH131757 ECD131743:ECD131757 ELZ131743:ELZ131757 EVV131743:EVV131757 FFR131743:FFR131757 FPN131743:FPN131757 FZJ131743:FZJ131757 GJF131743:GJF131757 GTB131743:GTB131757 HCX131743:HCX131757 HMT131743:HMT131757 HWP131743:HWP131757 IGL131743:IGL131757 IQH131743:IQH131757 JAD131743:JAD131757 JJZ131743:JJZ131757 JTV131743:JTV131757 KDR131743:KDR131757 KNN131743:KNN131757 KXJ131743:KXJ131757 LHF131743:LHF131757 LRB131743:LRB131757 MAX131743:MAX131757 MKT131743:MKT131757 MUP131743:MUP131757 NEL131743:NEL131757 NOH131743:NOH131757 NYD131743:NYD131757 OHZ131743:OHZ131757 ORV131743:ORV131757 PBR131743:PBR131757 PLN131743:PLN131757 PVJ131743:PVJ131757 QFF131743:QFF131757 QPB131743:QPB131757 QYX131743:QYX131757 RIT131743:RIT131757 RSP131743:RSP131757 SCL131743:SCL131757 SMH131743:SMH131757 SWD131743:SWD131757 TFZ131743:TFZ131757 TPV131743:TPV131757 TZR131743:TZR131757 UJN131743:UJN131757 UTJ131743:UTJ131757 VDF131743:VDF131757 VNB131743:VNB131757 VWX131743:VWX131757 WGT131743:WGT131757 WQP131743:WQP131757 ED197279:ED197293 NZ197279:NZ197293 XV197279:XV197293 AHR197279:AHR197293 ARN197279:ARN197293 BBJ197279:BBJ197293 BLF197279:BLF197293 BVB197279:BVB197293 CEX197279:CEX197293 COT197279:COT197293 CYP197279:CYP197293 DIL197279:DIL197293 DSH197279:DSH197293 ECD197279:ECD197293 ELZ197279:ELZ197293 EVV197279:EVV197293 FFR197279:FFR197293 FPN197279:FPN197293 FZJ197279:FZJ197293 GJF197279:GJF197293 GTB197279:GTB197293 HCX197279:HCX197293 HMT197279:HMT197293 HWP197279:HWP197293 IGL197279:IGL197293 IQH197279:IQH197293 JAD197279:JAD197293 JJZ197279:JJZ197293 JTV197279:JTV197293 KDR197279:KDR197293 KNN197279:KNN197293 KXJ197279:KXJ197293 LHF197279:LHF197293 LRB197279:LRB197293 MAX197279:MAX197293 MKT197279:MKT197293 MUP197279:MUP197293 NEL197279:NEL197293 NOH197279:NOH197293 NYD197279:NYD197293 OHZ197279:OHZ197293 ORV197279:ORV197293 PBR197279:PBR197293 PLN197279:PLN197293 PVJ197279:PVJ197293 QFF197279:QFF197293 QPB197279:QPB197293 QYX197279:QYX197293 RIT197279:RIT197293 RSP197279:RSP197293 SCL197279:SCL197293 SMH197279:SMH197293 SWD197279:SWD197293 TFZ197279:TFZ197293 TPV197279:TPV197293 TZR197279:TZR197293 UJN197279:UJN197293 UTJ197279:UTJ197293 VDF197279:VDF197293 VNB197279:VNB197293 VWX197279:VWX197293 WGT197279:WGT197293 WQP197279:WQP197293 ED262815:ED262829 NZ262815:NZ262829 XV262815:XV262829 AHR262815:AHR262829 ARN262815:ARN262829 BBJ262815:BBJ262829 BLF262815:BLF262829 BVB262815:BVB262829 CEX262815:CEX262829 COT262815:COT262829 CYP262815:CYP262829 DIL262815:DIL262829 DSH262815:DSH262829 ECD262815:ECD262829 ELZ262815:ELZ262829 EVV262815:EVV262829 FFR262815:FFR262829 FPN262815:FPN262829 FZJ262815:FZJ262829 GJF262815:GJF262829 GTB262815:GTB262829 HCX262815:HCX262829 HMT262815:HMT262829 HWP262815:HWP262829 IGL262815:IGL262829 IQH262815:IQH262829 JAD262815:JAD262829 JJZ262815:JJZ262829 JTV262815:JTV262829 KDR262815:KDR262829 KNN262815:KNN262829 KXJ262815:KXJ262829 LHF262815:LHF262829 LRB262815:LRB262829 MAX262815:MAX262829 MKT262815:MKT262829 MUP262815:MUP262829 NEL262815:NEL262829 NOH262815:NOH262829 NYD262815:NYD262829 OHZ262815:OHZ262829 ORV262815:ORV262829 PBR262815:PBR262829 PLN262815:PLN262829 PVJ262815:PVJ262829 QFF262815:QFF262829 QPB262815:QPB262829 QYX262815:QYX262829 RIT262815:RIT262829 RSP262815:RSP262829 SCL262815:SCL262829 SMH262815:SMH262829 SWD262815:SWD262829 TFZ262815:TFZ262829 TPV262815:TPV262829 TZR262815:TZR262829 UJN262815:UJN262829 UTJ262815:UTJ262829 VDF262815:VDF262829 VNB262815:VNB262829 VWX262815:VWX262829 WGT262815:WGT262829 WQP262815:WQP262829 ED328351:ED328365 NZ328351:NZ328365 XV328351:XV328365 AHR328351:AHR328365 ARN328351:ARN328365 BBJ328351:BBJ328365 BLF328351:BLF328365 BVB328351:BVB328365 CEX328351:CEX328365 COT328351:COT328365 CYP328351:CYP328365 DIL328351:DIL328365 DSH328351:DSH328365 ECD328351:ECD328365 ELZ328351:ELZ328365 EVV328351:EVV328365 FFR328351:FFR328365 FPN328351:FPN328365 FZJ328351:FZJ328365 GJF328351:GJF328365 GTB328351:GTB328365 HCX328351:HCX328365 HMT328351:HMT328365 HWP328351:HWP328365 IGL328351:IGL328365 IQH328351:IQH328365 JAD328351:JAD328365 JJZ328351:JJZ328365 JTV328351:JTV328365 KDR328351:KDR328365 KNN328351:KNN328365 KXJ328351:KXJ328365 LHF328351:LHF328365 LRB328351:LRB328365 MAX328351:MAX328365 MKT328351:MKT328365 MUP328351:MUP328365 NEL328351:NEL328365 NOH328351:NOH328365 NYD328351:NYD328365 OHZ328351:OHZ328365 ORV328351:ORV328365 PBR328351:PBR328365 PLN328351:PLN328365 PVJ328351:PVJ328365 QFF328351:QFF328365 QPB328351:QPB328365 QYX328351:QYX328365 RIT328351:RIT328365 RSP328351:RSP328365 SCL328351:SCL328365 SMH328351:SMH328365 SWD328351:SWD328365 TFZ328351:TFZ328365 TPV328351:TPV328365 TZR328351:TZR328365 UJN328351:UJN328365 UTJ328351:UTJ328365 VDF328351:VDF328365 VNB328351:VNB328365 VWX328351:VWX328365 WGT328351:WGT328365 WQP328351:WQP328365 ED393887:ED393901 NZ393887:NZ393901 XV393887:XV393901 AHR393887:AHR393901 ARN393887:ARN393901 BBJ393887:BBJ393901 BLF393887:BLF393901 BVB393887:BVB393901 CEX393887:CEX393901 COT393887:COT393901 CYP393887:CYP393901 DIL393887:DIL393901 DSH393887:DSH393901 ECD393887:ECD393901 ELZ393887:ELZ393901 EVV393887:EVV393901 FFR393887:FFR393901 FPN393887:FPN393901 FZJ393887:FZJ393901 GJF393887:GJF393901 GTB393887:GTB393901 HCX393887:HCX393901 HMT393887:HMT393901 HWP393887:HWP393901 IGL393887:IGL393901 IQH393887:IQH393901 JAD393887:JAD393901 JJZ393887:JJZ393901 JTV393887:JTV393901 KDR393887:KDR393901 KNN393887:KNN393901 KXJ393887:KXJ393901 LHF393887:LHF393901 LRB393887:LRB393901 MAX393887:MAX393901 MKT393887:MKT393901 MUP393887:MUP393901 NEL393887:NEL393901 NOH393887:NOH393901 NYD393887:NYD393901 OHZ393887:OHZ393901 ORV393887:ORV393901 PBR393887:PBR393901 PLN393887:PLN393901 PVJ393887:PVJ393901 QFF393887:QFF393901 QPB393887:QPB393901 QYX393887:QYX393901 RIT393887:RIT393901 RSP393887:RSP393901 SCL393887:SCL393901 SMH393887:SMH393901 SWD393887:SWD393901 TFZ393887:TFZ393901 TPV393887:TPV393901 TZR393887:TZR393901 UJN393887:UJN393901 UTJ393887:UTJ393901 VDF393887:VDF393901 VNB393887:VNB393901 VWX393887:VWX393901 WGT393887:WGT393901 WQP393887:WQP393901 ED459423:ED459437 NZ459423:NZ459437 XV459423:XV459437 AHR459423:AHR459437 ARN459423:ARN459437 BBJ459423:BBJ459437 BLF459423:BLF459437 BVB459423:BVB459437 CEX459423:CEX459437 COT459423:COT459437 CYP459423:CYP459437 DIL459423:DIL459437 DSH459423:DSH459437 ECD459423:ECD459437 ELZ459423:ELZ459437 EVV459423:EVV459437 FFR459423:FFR459437 FPN459423:FPN459437 FZJ459423:FZJ459437 GJF459423:GJF459437 GTB459423:GTB459437 HCX459423:HCX459437 HMT459423:HMT459437 HWP459423:HWP459437 IGL459423:IGL459437 IQH459423:IQH459437 JAD459423:JAD459437 JJZ459423:JJZ459437 JTV459423:JTV459437 KDR459423:KDR459437 KNN459423:KNN459437 KXJ459423:KXJ459437 LHF459423:LHF459437 LRB459423:LRB459437 MAX459423:MAX459437 MKT459423:MKT459437 MUP459423:MUP459437 NEL459423:NEL459437 NOH459423:NOH459437 NYD459423:NYD459437 OHZ459423:OHZ459437 ORV459423:ORV459437 PBR459423:PBR459437 PLN459423:PLN459437 PVJ459423:PVJ459437 QFF459423:QFF459437 QPB459423:QPB459437 QYX459423:QYX459437 RIT459423:RIT459437 RSP459423:RSP459437 SCL459423:SCL459437 SMH459423:SMH459437 SWD459423:SWD459437 TFZ459423:TFZ459437 TPV459423:TPV459437 TZR459423:TZR459437 UJN459423:UJN459437 UTJ459423:UTJ459437 VDF459423:VDF459437 VNB459423:VNB459437 VWX459423:VWX459437 WGT459423:WGT459437 WQP459423:WQP459437 ED524959:ED524973 NZ524959:NZ524973 XV524959:XV524973 AHR524959:AHR524973 ARN524959:ARN524973 BBJ524959:BBJ524973 BLF524959:BLF524973 BVB524959:BVB524973 CEX524959:CEX524973 COT524959:COT524973 CYP524959:CYP524973 DIL524959:DIL524973 DSH524959:DSH524973 ECD524959:ECD524973 ELZ524959:ELZ524973 EVV524959:EVV524973 FFR524959:FFR524973 FPN524959:FPN524973 FZJ524959:FZJ524973 GJF524959:GJF524973 GTB524959:GTB524973 HCX524959:HCX524973 HMT524959:HMT524973 HWP524959:HWP524973 IGL524959:IGL524973 IQH524959:IQH524973 JAD524959:JAD524973 JJZ524959:JJZ524973 JTV524959:JTV524973 KDR524959:KDR524973 KNN524959:KNN524973 KXJ524959:KXJ524973 LHF524959:LHF524973 LRB524959:LRB524973 MAX524959:MAX524973 MKT524959:MKT524973 MUP524959:MUP524973 NEL524959:NEL524973 NOH524959:NOH524973 NYD524959:NYD524973 OHZ524959:OHZ524973 ORV524959:ORV524973 PBR524959:PBR524973 PLN524959:PLN524973 PVJ524959:PVJ524973 QFF524959:QFF524973 QPB524959:QPB524973 QYX524959:QYX524973 RIT524959:RIT524973 RSP524959:RSP524973 SCL524959:SCL524973 SMH524959:SMH524973 SWD524959:SWD524973 TFZ524959:TFZ524973 TPV524959:TPV524973 TZR524959:TZR524973 UJN524959:UJN524973 UTJ524959:UTJ524973 VDF524959:VDF524973 VNB524959:VNB524973 VWX524959:VWX524973 WGT524959:WGT524973 WQP524959:WQP524973 ED590495:ED590509 NZ590495:NZ590509 XV590495:XV590509 AHR590495:AHR590509 ARN590495:ARN590509 BBJ590495:BBJ590509 BLF590495:BLF590509 BVB590495:BVB590509 CEX590495:CEX590509 COT590495:COT590509 CYP590495:CYP590509 DIL590495:DIL590509 DSH590495:DSH590509 ECD590495:ECD590509 ELZ590495:ELZ590509 EVV590495:EVV590509 FFR590495:FFR590509 FPN590495:FPN590509 FZJ590495:FZJ590509 GJF590495:GJF590509 GTB590495:GTB590509 HCX590495:HCX590509 HMT590495:HMT590509 HWP590495:HWP590509 IGL590495:IGL590509 IQH590495:IQH590509 JAD590495:JAD590509 JJZ590495:JJZ590509 JTV590495:JTV590509 KDR590495:KDR590509 KNN590495:KNN590509 KXJ590495:KXJ590509 LHF590495:LHF590509 LRB590495:LRB590509 MAX590495:MAX590509 MKT590495:MKT590509 MUP590495:MUP590509 NEL590495:NEL590509 NOH590495:NOH590509 NYD590495:NYD590509 OHZ590495:OHZ590509 ORV590495:ORV590509 PBR590495:PBR590509 PLN590495:PLN590509 PVJ590495:PVJ590509 QFF590495:QFF590509 QPB590495:QPB590509 QYX590495:QYX590509 RIT590495:RIT590509 RSP590495:RSP590509 SCL590495:SCL590509 SMH590495:SMH590509 SWD590495:SWD590509 TFZ590495:TFZ590509 TPV590495:TPV590509 TZR590495:TZR590509 UJN590495:UJN590509 UTJ590495:UTJ590509 VDF590495:VDF590509 VNB590495:VNB590509 VWX590495:VWX590509 WGT590495:WGT590509 WQP590495:WQP590509 ED656031:ED656045 NZ656031:NZ656045 XV656031:XV656045 AHR656031:AHR656045 ARN656031:ARN656045 BBJ656031:BBJ656045 BLF656031:BLF656045 BVB656031:BVB656045 CEX656031:CEX656045 COT656031:COT656045 CYP656031:CYP656045 DIL656031:DIL656045 DSH656031:DSH656045 ECD656031:ECD656045 ELZ656031:ELZ656045 EVV656031:EVV656045 FFR656031:FFR656045 FPN656031:FPN656045 FZJ656031:FZJ656045 GJF656031:GJF656045 GTB656031:GTB656045 HCX656031:HCX656045 HMT656031:HMT656045 HWP656031:HWP656045 IGL656031:IGL656045 IQH656031:IQH656045 JAD656031:JAD656045 JJZ656031:JJZ656045 JTV656031:JTV656045 KDR656031:KDR656045 KNN656031:KNN656045 KXJ656031:KXJ656045 LHF656031:LHF656045 LRB656031:LRB656045 MAX656031:MAX656045 MKT656031:MKT656045 MUP656031:MUP656045 NEL656031:NEL656045 NOH656031:NOH656045 NYD656031:NYD656045 OHZ656031:OHZ656045 ORV656031:ORV656045 PBR656031:PBR656045 PLN656031:PLN656045 PVJ656031:PVJ656045 QFF656031:QFF656045 QPB656031:QPB656045 QYX656031:QYX656045 RIT656031:RIT656045 RSP656031:RSP656045 SCL656031:SCL656045 SMH656031:SMH656045 SWD656031:SWD656045 TFZ656031:TFZ656045 TPV656031:TPV656045 TZR656031:TZR656045 UJN656031:UJN656045 UTJ656031:UTJ656045 VDF656031:VDF656045 VNB656031:VNB656045 VWX656031:VWX656045 WGT656031:WGT656045 WQP656031:WQP656045 ED721567:ED721581 NZ721567:NZ721581 XV721567:XV721581 AHR721567:AHR721581 ARN721567:ARN721581 BBJ721567:BBJ721581 BLF721567:BLF721581 BVB721567:BVB721581 CEX721567:CEX721581 COT721567:COT721581 CYP721567:CYP721581 DIL721567:DIL721581 DSH721567:DSH721581 ECD721567:ECD721581 ELZ721567:ELZ721581 EVV721567:EVV721581 FFR721567:FFR721581 FPN721567:FPN721581 FZJ721567:FZJ721581 GJF721567:GJF721581 GTB721567:GTB721581 HCX721567:HCX721581 HMT721567:HMT721581 HWP721567:HWP721581 IGL721567:IGL721581 IQH721567:IQH721581 JAD721567:JAD721581 JJZ721567:JJZ721581 JTV721567:JTV721581 KDR721567:KDR721581 KNN721567:KNN721581 KXJ721567:KXJ721581 LHF721567:LHF721581 LRB721567:LRB721581 MAX721567:MAX721581 MKT721567:MKT721581 MUP721567:MUP721581 NEL721567:NEL721581 NOH721567:NOH721581 NYD721567:NYD721581 OHZ721567:OHZ721581 ORV721567:ORV721581 PBR721567:PBR721581 PLN721567:PLN721581 PVJ721567:PVJ721581 QFF721567:QFF721581 QPB721567:QPB721581 QYX721567:QYX721581 RIT721567:RIT721581 RSP721567:RSP721581 SCL721567:SCL721581 SMH721567:SMH721581 SWD721567:SWD721581 TFZ721567:TFZ721581 TPV721567:TPV721581 TZR721567:TZR721581 UJN721567:UJN721581 UTJ721567:UTJ721581 VDF721567:VDF721581 VNB721567:VNB721581 VWX721567:VWX721581 WGT721567:WGT721581 WQP721567:WQP721581 ED787103:ED787117 NZ787103:NZ787117 XV787103:XV787117 AHR787103:AHR787117 ARN787103:ARN787117 BBJ787103:BBJ787117 BLF787103:BLF787117 BVB787103:BVB787117 CEX787103:CEX787117 COT787103:COT787117 CYP787103:CYP787117 DIL787103:DIL787117 DSH787103:DSH787117 ECD787103:ECD787117 ELZ787103:ELZ787117 EVV787103:EVV787117 FFR787103:FFR787117 FPN787103:FPN787117 FZJ787103:FZJ787117 GJF787103:GJF787117 GTB787103:GTB787117 HCX787103:HCX787117 HMT787103:HMT787117 HWP787103:HWP787117 IGL787103:IGL787117 IQH787103:IQH787117 JAD787103:JAD787117 JJZ787103:JJZ787117 JTV787103:JTV787117 KDR787103:KDR787117 KNN787103:KNN787117 KXJ787103:KXJ787117 LHF787103:LHF787117 LRB787103:LRB787117 MAX787103:MAX787117 MKT787103:MKT787117 MUP787103:MUP787117 NEL787103:NEL787117 NOH787103:NOH787117 NYD787103:NYD787117 OHZ787103:OHZ787117 ORV787103:ORV787117 PBR787103:PBR787117 PLN787103:PLN787117 PVJ787103:PVJ787117 QFF787103:QFF787117 QPB787103:QPB787117 QYX787103:QYX787117 RIT787103:RIT787117 RSP787103:RSP787117 SCL787103:SCL787117 SMH787103:SMH787117 SWD787103:SWD787117 TFZ787103:TFZ787117 TPV787103:TPV787117 TZR787103:TZR787117 UJN787103:UJN787117 UTJ787103:UTJ787117 VDF787103:VDF787117 VNB787103:VNB787117 VWX787103:VWX787117 WGT787103:WGT787117 WQP787103:WQP787117 ED852639:ED852653 NZ852639:NZ852653 XV852639:XV852653 AHR852639:AHR852653 ARN852639:ARN852653 BBJ852639:BBJ852653 BLF852639:BLF852653 BVB852639:BVB852653 CEX852639:CEX852653 COT852639:COT852653 CYP852639:CYP852653 DIL852639:DIL852653 DSH852639:DSH852653 ECD852639:ECD852653 ELZ852639:ELZ852653 EVV852639:EVV852653 FFR852639:FFR852653 FPN852639:FPN852653 FZJ852639:FZJ852653 GJF852639:GJF852653 GTB852639:GTB852653 HCX852639:HCX852653 HMT852639:HMT852653 HWP852639:HWP852653 IGL852639:IGL852653 IQH852639:IQH852653 JAD852639:JAD852653 JJZ852639:JJZ852653 JTV852639:JTV852653 KDR852639:KDR852653 KNN852639:KNN852653 KXJ852639:KXJ852653 LHF852639:LHF852653 LRB852639:LRB852653 MAX852639:MAX852653 MKT852639:MKT852653 MUP852639:MUP852653 NEL852639:NEL852653 NOH852639:NOH852653 NYD852639:NYD852653 OHZ852639:OHZ852653 ORV852639:ORV852653 PBR852639:PBR852653 PLN852639:PLN852653 PVJ852639:PVJ852653 QFF852639:QFF852653 QPB852639:QPB852653 QYX852639:QYX852653 RIT852639:RIT852653 RSP852639:RSP852653 SCL852639:SCL852653 SMH852639:SMH852653 SWD852639:SWD852653 TFZ852639:TFZ852653 TPV852639:TPV852653 TZR852639:TZR852653 UJN852639:UJN852653 UTJ852639:UTJ852653 VDF852639:VDF852653 VNB852639:VNB852653 VWX852639:VWX852653 WGT852639:WGT852653 WQP852639:WQP852653 ED918175:ED918189 NZ918175:NZ918189 XV918175:XV918189 AHR918175:AHR918189 ARN918175:ARN918189 BBJ918175:BBJ918189 BLF918175:BLF918189 BVB918175:BVB918189 CEX918175:CEX918189 COT918175:COT918189 CYP918175:CYP918189 DIL918175:DIL918189 DSH918175:DSH918189 ECD918175:ECD918189 ELZ918175:ELZ918189 EVV918175:EVV918189 FFR918175:FFR918189 FPN918175:FPN918189 FZJ918175:FZJ918189 GJF918175:GJF918189 GTB918175:GTB918189 HCX918175:HCX918189 HMT918175:HMT918189 HWP918175:HWP918189 IGL918175:IGL918189 IQH918175:IQH918189 JAD918175:JAD918189 JJZ918175:JJZ918189 JTV918175:JTV918189 KDR918175:KDR918189 KNN918175:KNN918189 KXJ918175:KXJ918189 LHF918175:LHF918189 LRB918175:LRB918189 MAX918175:MAX918189 MKT918175:MKT918189 MUP918175:MUP918189 NEL918175:NEL918189 NOH918175:NOH918189 NYD918175:NYD918189 OHZ918175:OHZ918189 ORV918175:ORV918189 PBR918175:PBR918189 PLN918175:PLN918189 PVJ918175:PVJ918189 QFF918175:QFF918189 QPB918175:QPB918189 QYX918175:QYX918189 RIT918175:RIT918189 RSP918175:RSP918189 SCL918175:SCL918189 SMH918175:SMH918189 SWD918175:SWD918189 TFZ918175:TFZ918189 TPV918175:TPV918189 TZR918175:TZR918189 UJN918175:UJN918189 UTJ918175:UTJ918189 VDF918175:VDF918189 VNB918175:VNB918189 VWX918175:VWX918189 WGT918175:WGT918189 WQP918175:WQP918189 ED983711:ED983725 NZ983711:NZ983725 XV983711:XV983725 AHR983711:AHR983725 ARN983711:ARN983725 BBJ983711:BBJ983725 BLF983711:BLF983725 BVB983711:BVB983725 CEX983711:CEX983725 COT983711:COT983725 CYP983711:CYP983725 DIL983711:DIL983725 DSH983711:DSH983725 ECD983711:ECD983725 ELZ983711:ELZ983725 EVV983711:EVV983725 FFR983711:FFR983725 FPN983711:FPN983725 FZJ983711:FZJ983725 GJF983711:GJF983725 GTB983711:GTB983725 HCX983711:HCX983725 HMT983711:HMT983725 HWP983711:HWP983725 IGL983711:IGL983725 IQH983711:IQH983725 JAD983711:JAD983725 JJZ983711:JJZ983725 JTV983711:JTV983725 KDR983711:KDR983725 KNN983711:KNN983725 KXJ983711:KXJ983725 LHF983711:LHF983725 LRB983711:LRB983725 MAX983711:MAX983725 MKT983711:MKT983725 MUP983711:MUP983725 NEL983711:NEL983725 NOH983711:NOH983725 NYD983711:NYD983725 OHZ983711:OHZ983725 ORV983711:ORV983725 PBR983711:PBR983725 PLN983711:PLN983725 PVJ983711:PVJ983725 QFF983711:QFF983725 QPB983711:QPB983725 QYX983711:QYX983725 RIT983711:RIT983725 RSP983711:RSP983725 SCL983711:SCL983725 SMH983711:SMH983725 SWD983711:SWD983725 TFZ983711:TFZ983725 TPV983711:TPV983725 TZR983711:TZR983725 UJN983711:UJN983725 UTJ983711:UTJ983725 VDF983711:VDF983725 VNB983711:VNB983725 VWX983711:VWX983725 WGT983711:WGT983725 WQP983711:WQP983725 ED66194:ED66195 NZ66194:NZ66195 XV66194:XV66195 AHR66194:AHR66195 ARN66194:ARN66195 BBJ66194:BBJ66195 BLF66194:BLF66195 BVB66194:BVB66195 CEX66194:CEX66195 COT66194:COT66195 CYP66194:CYP66195 DIL66194:DIL66195 DSH66194:DSH66195 ECD66194:ECD66195 ELZ66194:ELZ66195 EVV66194:EVV66195 FFR66194:FFR66195 FPN66194:FPN66195 FZJ66194:FZJ66195 GJF66194:GJF66195 GTB66194:GTB66195 HCX66194:HCX66195 HMT66194:HMT66195 HWP66194:HWP66195 IGL66194:IGL66195 IQH66194:IQH66195 JAD66194:JAD66195 JJZ66194:JJZ66195 JTV66194:JTV66195 KDR66194:KDR66195 KNN66194:KNN66195 KXJ66194:KXJ66195 LHF66194:LHF66195 LRB66194:LRB66195 MAX66194:MAX66195 MKT66194:MKT66195 MUP66194:MUP66195 NEL66194:NEL66195 NOH66194:NOH66195 NYD66194:NYD66195 OHZ66194:OHZ66195 ORV66194:ORV66195 PBR66194:PBR66195 PLN66194:PLN66195 PVJ66194:PVJ66195 QFF66194:QFF66195 QPB66194:QPB66195 QYX66194:QYX66195 RIT66194:RIT66195 RSP66194:RSP66195 SCL66194:SCL66195 SMH66194:SMH66195 SWD66194:SWD66195 TFZ66194:TFZ66195 TPV66194:TPV66195 TZR66194:TZR66195 UJN66194:UJN66195 UTJ66194:UTJ66195 VDF66194:VDF66195 VNB66194:VNB66195 VWX66194:VWX66195 WGT66194:WGT66195 WQP66194:WQP66195 ED131730:ED131731 NZ131730:NZ131731 XV131730:XV131731 AHR131730:AHR131731 ARN131730:ARN131731 BBJ131730:BBJ131731 BLF131730:BLF131731 BVB131730:BVB131731 CEX131730:CEX131731 COT131730:COT131731 CYP131730:CYP131731 DIL131730:DIL131731 DSH131730:DSH131731 ECD131730:ECD131731 ELZ131730:ELZ131731 EVV131730:EVV131731 FFR131730:FFR131731 FPN131730:FPN131731 FZJ131730:FZJ131731 GJF131730:GJF131731 GTB131730:GTB131731 HCX131730:HCX131731 HMT131730:HMT131731 HWP131730:HWP131731 IGL131730:IGL131731 IQH131730:IQH131731 JAD131730:JAD131731 JJZ131730:JJZ131731 JTV131730:JTV131731 KDR131730:KDR131731 KNN131730:KNN131731 KXJ131730:KXJ131731 LHF131730:LHF131731 LRB131730:LRB131731 MAX131730:MAX131731 MKT131730:MKT131731 MUP131730:MUP131731 NEL131730:NEL131731 NOH131730:NOH131731 NYD131730:NYD131731 OHZ131730:OHZ131731 ORV131730:ORV131731 PBR131730:PBR131731 PLN131730:PLN131731 PVJ131730:PVJ131731 QFF131730:QFF131731 QPB131730:QPB131731 QYX131730:QYX131731 RIT131730:RIT131731 RSP131730:RSP131731 SCL131730:SCL131731 SMH131730:SMH131731 SWD131730:SWD131731 TFZ131730:TFZ131731 TPV131730:TPV131731 TZR131730:TZR131731 UJN131730:UJN131731 UTJ131730:UTJ131731 VDF131730:VDF131731 VNB131730:VNB131731 VWX131730:VWX131731 WGT131730:WGT131731 WQP131730:WQP131731 ED197266:ED197267 NZ197266:NZ197267 XV197266:XV197267 AHR197266:AHR197267 ARN197266:ARN197267 BBJ197266:BBJ197267 BLF197266:BLF197267 BVB197266:BVB197267 CEX197266:CEX197267 COT197266:COT197267 CYP197266:CYP197267 DIL197266:DIL197267 DSH197266:DSH197267 ECD197266:ECD197267 ELZ197266:ELZ197267 EVV197266:EVV197267 FFR197266:FFR197267 FPN197266:FPN197267 FZJ197266:FZJ197267 GJF197266:GJF197267 GTB197266:GTB197267 HCX197266:HCX197267 HMT197266:HMT197267 HWP197266:HWP197267 IGL197266:IGL197267 IQH197266:IQH197267 JAD197266:JAD197267 JJZ197266:JJZ197267 JTV197266:JTV197267 KDR197266:KDR197267 KNN197266:KNN197267 KXJ197266:KXJ197267 LHF197266:LHF197267 LRB197266:LRB197267 MAX197266:MAX197267 MKT197266:MKT197267 MUP197266:MUP197267 NEL197266:NEL197267 NOH197266:NOH197267 NYD197266:NYD197267 OHZ197266:OHZ197267 ORV197266:ORV197267 PBR197266:PBR197267 PLN197266:PLN197267 PVJ197266:PVJ197267 QFF197266:QFF197267 QPB197266:QPB197267 QYX197266:QYX197267 RIT197266:RIT197267 RSP197266:RSP197267 SCL197266:SCL197267 SMH197266:SMH197267 SWD197266:SWD197267 TFZ197266:TFZ197267 TPV197266:TPV197267 TZR197266:TZR197267 UJN197266:UJN197267 UTJ197266:UTJ197267 VDF197266:VDF197267 VNB197266:VNB197267 VWX197266:VWX197267 WGT197266:WGT197267 WQP197266:WQP197267 ED262802:ED262803 NZ262802:NZ262803 XV262802:XV262803 AHR262802:AHR262803 ARN262802:ARN262803 BBJ262802:BBJ262803 BLF262802:BLF262803 BVB262802:BVB262803 CEX262802:CEX262803 COT262802:COT262803 CYP262802:CYP262803 DIL262802:DIL262803 DSH262802:DSH262803 ECD262802:ECD262803 ELZ262802:ELZ262803 EVV262802:EVV262803 FFR262802:FFR262803 FPN262802:FPN262803 FZJ262802:FZJ262803 GJF262802:GJF262803 GTB262802:GTB262803 HCX262802:HCX262803 HMT262802:HMT262803 HWP262802:HWP262803 IGL262802:IGL262803 IQH262802:IQH262803 JAD262802:JAD262803 JJZ262802:JJZ262803 JTV262802:JTV262803 KDR262802:KDR262803 KNN262802:KNN262803 KXJ262802:KXJ262803 LHF262802:LHF262803 LRB262802:LRB262803 MAX262802:MAX262803 MKT262802:MKT262803 MUP262802:MUP262803 NEL262802:NEL262803 NOH262802:NOH262803 NYD262802:NYD262803 OHZ262802:OHZ262803 ORV262802:ORV262803 PBR262802:PBR262803 PLN262802:PLN262803 PVJ262802:PVJ262803 QFF262802:QFF262803 QPB262802:QPB262803 QYX262802:QYX262803 RIT262802:RIT262803 RSP262802:RSP262803 SCL262802:SCL262803 SMH262802:SMH262803 SWD262802:SWD262803 TFZ262802:TFZ262803 TPV262802:TPV262803 TZR262802:TZR262803 UJN262802:UJN262803 UTJ262802:UTJ262803 VDF262802:VDF262803 VNB262802:VNB262803 VWX262802:VWX262803 WGT262802:WGT262803 WQP262802:WQP262803 ED328338:ED328339 NZ328338:NZ328339 XV328338:XV328339 AHR328338:AHR328339 ARN328338:ARN328339 BBJ328338:BBJ328339 BLF328338:BLF328339 BVB328338:BVB328339 CEX328338:CEX328339 COT328338:COT328339 CYP328338:CYP328339 DIL328338:DIL328339 DSH328338:DSH328339 ECD328338:ECD328339 ELZ328338:ELZ328339 EVV328338:EVV328339 FFR328338:FFR328339 FPN328338:FPN328339 FZJ328338:FZJ328339 GJF328338:GJF328339 GTB328338:GTB328339 HCX328338:HCX328339 HMT328338:HMT328339 HWP328338:HWP328339 IGL328338:IGL328339 IQH328338:IQH328339 JAD328338:JAD328339 JJZ328338:JJZ328339 JTV328338:JTV328339 KDR328338:KDR328339 KNN328338:KNN328339 KXJ328338:KXJ328339 LHF328338:LHF328339 LRB328338:LRB328339 MAX328338:MAX328339 MKT328338:MKT328339 MUP328338:MUP328339 NEL328338:NEL328339 NOH328338:NOH328339 NYD328338:NYD328339 OHZ328338:OHZ328339 ORV328338:ORV328339 PBR328338:PBR328339 PLN328338:PLN328339 PVJ328338:PVJ328339 QFF328338:QFF328339 QPB328338:QPB328339 QYX328338:QYX328339 RIT328338:RIT328339 RSP328338:RSP328339 SCL328338:SCL328339 SMH328338:SMH328339 SWD328338:SWD328339 TFZ328338:TFZ328339 TPV328338:TPV328339 TZR328338:TZR328339 UJN328338:UJN328339 UTJ328338:UTJ328339 VDF328338:VDF328339 VNB328338:VNB328339 VWX328338:VWX328339 WGT328338:WGT328339 WQP328338:WQP328339 ED393874:ED393875 NZ393874:NZ393875 XV393874:XV393875 AHR393874:AHR393875 ARN393874:ARN393875 BBJ393874:BBJ393875 BLF393874:BLF393875 BVB393874:BVB393875 CEX393874:CEX393875 COT393874:COT393875 CYP393874:CYP393875 DIL393874:DIL393875 DSH393874:DSH393875 ECD393874:ECD393875 ELZ393874:ELZ393875 EVV393874:EVV393875 FFR393874:FFR393875 FPN393874:FPN393875 FZJ393874:FZJ393875 GJF393874:GJF393875 GTB393874:GTB393875 HCX393874:HCX393875 HMT393874:HMT393875 HWP393874:HWP393875 IGL393874:IGL393875 IQH393874:IQH393875 JAD393874:JAD393875 JJZ393874:JJZ393875 JTV393874:JTV393875 KDR393874:KDR393875 KNN393874:KNN393875 KXJ393874:KXJ393875 LHF393874:LHF393875 LRB393874:LRB393875 MAX393874:MAX393875 MKT393874:MKT393875 MUP393874:MUP393875 NEL393874:NEL393875 NOH393874:NOH393875 NYD393874:NYD393875 OHZ393874:OHZ393875 ORV393874:ORV393875 PBR393874:PBR393875 PLN393874:PLN393875 PVJ393874:PVJ393875 QFF393874:QFF393875 QPB393874:QPB393875 QYX393874:QYX393875 RIT393874:RIT393875 RSP393874:RSP393875 SCL393874:SCL393875 SMH393874:SMH393875 SWD393874:SWD393875 TFZ393874:TFZ393875 TPV393874:TPV393875 TZR393874:TZR393875 UJN393874:UJN393875 UTJ393874:UTJ393875 VDF393874:VDF393875 VNB393874:VNB393875 VWX393874:VWX393875 WGT393874:WGT393875 WQP393874:WQP393875 ED459410:ED459411 NZ459410:NZ459411 XV459410:XV459411 AHR459410:AHR459411 ARN459410:ARN459411 BBJ459410:BBJ459411 BLF459410:BLF459411 BVB459410:BVB459411 CEX459410:CEX459411 COT459410:COT459411 CYP459410:CYP459411 DIL459410:DIL459411 DSH459410:DSH459411 ECD459410:ECD459411 ELZ459410:ELZ459411 EVV459410:EVV459411 FFR459410:FFR459411 FPN459410:FPN459411 FZJ459410:FZJ459411 GJF459410:GJF459411 GTB459410:GTB459411 HCX459410:HCX459411 HMT459410:HMT459411 HWP459410:HWP459411 IGL459410:IGL459411 IQH459410:IQH459411 JAD459410:JAD459411 JJZ459410:JJZ459411 JTV459410:JTV459411 KDR459410:KDR459411 KNN459410:KNN459411 KXJ459410:KXJ459411 LHF459410:LHF459411 LRB459410:LRB459411 MAX459410:MAX459411 MKT459410:MKT459411 MUP459410:MUP459411 NEL459410:NEL459411 NOH459410:NOH459411 NYD459410:NYD459411 OHZ459410:OHZ459411 ORV459410:ORV459411 PBR459410:PBR459411 PLN459410:PLN459411 PVJ459410:PVJ459411 QFF459410:QFF459411 QPB459410:QPB459411 QYX459410:QYX459411 RIT459410:RIT459411 RSP459410:RSP459411 SCL459410:SCL459411 SMH459410:SMH459411 SWD459410:SWD459411 TFZ459410:TFZ459411 TPV459410:TPV459411 TZR459410:TZR459411 UJN459410:UJN459411 UTJ459410:UTJ459411 VDF459410:VDF459411 VNB459410:VNB459411 VWX459410:VWX459411 WGT459410:WGT459411 WQP459410:WQP459411 ED524946:ED524947 NZ524946:NZ524947 XV524946:XV524947 AHR524946:AHR524947 ARN524946:ARN524947 BBJ524946:BBJ524947 BLF524946:BLF524947 BVB524946:BVB524947 CEX524946:CEX524947 COT524946:COT524947 CYP524946:CYP524947 DIL524946:DIL524947 DSH524946:DSH524947 ECD524946:ECD524947 ELZ524946:ELZ524947 EVV524946:EVV524947 FFR524946:FFR524947 FPN524946:FPN524947 FZJ524946:FZJ524947 GJF524946:GJF524947 GTB524946:GTB524947 HCX524946:HCX524947 HMT524946:HMT524947 HWP524946:HWP524947 IGL524946:IGL524947 IQH524946:IQH524947 JAD524946:JAD524947 JJZ524946:JJZ524947 JTV524946:JTV524947 KDR524946:KDR524947 KNN524946:KNN524947 KXJ524946:KXJ524947 LHF524946:LHF524947 LRB524946:LRB524947 MAX524946:MAX524947 MKT524946:MKT524947 MUP524946:MUP524947 NEL524946:NEL524947 NOH524946:NOH524947 NYD524946:NYD524947 OHZ524946:OHZ524947 ORV524946:ORV524947 PBR524946:PBR524947 PLN524946:PLN524947 PVJ524946:PVJ524947 QFF524946:QFF524947 QPB524946:QPB524947 QYX524946:QYX524947 RIT524946:RIT524947 RSP524946:RSP524947 SCL524946:SCL524947 SMH524946:SMH524947 SWD524946:SWD524947 TFZ524946:TFZ524947 TPV524946:TPV524947 TZR524946:TZR524947 UJN524946:UJN524947 UTJ524946:UTJ524947 VDF524946:VDF524947 VNB524946:VNB524947 VWX524946:VWX524947 WGT524946:WGT524947 WQP524946:WQP524947 ED590482:ED590483 NZ590482:NZ590483 XV590482:XV590483 AHR590482:AHR590483 ARN590482:ARN590483 BBJ590482:BBJ590483 BLF590482:BLF590483 BVB590482:BVB590483 CEX590482:CEX590483 COT590482:COT590483 CYP590482:CYP590483 DIL590482:DIL590483 DSH590482:DSH590483 ECD590482:ECD590483 ELZ590482:ELZ590483 EVV590482:EVV590483 FFR590482:FFR590483 FPN590482:FPN590483 FZJ590482:FZJ590483 GJF590482:GJF590483 GTB590482:GTB590483 HCX590482:HCX590483 HMT590482:HMT590483 HWP590482:HWP590483 IGL590482:IGL590483 IQH590482:IQH590483 JAD590482:JAD590483 JJZ590482:JJZ590483 JTV590482:JTV590483 KDR590482:KDR590483 KNN590482:KNN590483 KXJ590482:KXJ590483 LHF590482:LHF590483 LRB590482:LRB590483 MAX590482:MAX590483 MKT590482:MKT590483 MUP590482:MUP590483 NEL590482:NEL590483 NOH590482:NOH590483 NYD590482:NYD590483 OHZ590482:OHZ590483 ORV590482:ORV590483 PBR590482:PBR590483 PLN590482:PLN590483 PVJ590482:PVJ590483 QFF590482:QFF590483 QPB590482:QPB590483 QYX590482:QYX590483 RIT590482:RIT590483 RSP590482:RSP590483 SCL590482:SCL590483 SMH590482:SMH590483 SWD590482:SWD590483 TFZ590482:TFZ590483 TPV590482:TPV590483 TZR590482:TZR590483 UJN590482:UJN590483 UTJ590482:UTJ590483 VDF590482:VDF590483 VNB590482:VNB590483 VWX590482:VWX590483 WGT590482:WGT590483 WQP590482:WQP590483 ED656018:ED656019 NZ656018:NZ656019 XV656018:XV656019 AHR656018:AHR656019 ARN656018:ARN656019 BBJ656018:BBJ656019 BLF656018:BLF656019 BVB656018:BVB656019 CEX656018:CEX656019 COT656018:COT656019 CYP656018:CYP656019 DIL656018:DIL656019 DSH656018:DSH656019 ECD656018:ECD656019 ELZ656018:ELZ656019 EVV656018:EVV656019 FFR656018:FFR656019 FPN656018:FPN656019 FZJ656018:FZJ656019 GJF656018:GJF656019 GTB656018:GTB656019 HCX656018:HCX656019 HMT656018:HMT656019 HWP656018:HWP656019 IGL656018:IGL656019 IQH656018:IQH656019 JAD656018:JAD656019 JJZ656018:JJZ656019 JTV656018:JTV656019 KDR656018:KDR656019 KNN656018:KNN656019 KXJ656018:KXJ656019 LHF656018:LHF656019 LRB656018:LRB656019 MAX656018:MAX656019 MKT656018:MKT656019 MUP656018:MUP656019 NEL656018:NEL656019 NOH656018:NOH656019 NYD656018:NYD656019 OHZ656018:OHZ656019 ORV656018:ORV656019 PBR656018:PBR656019 PLN656018:PLN656019 PVJ656018:PVJ656019 QFF656018:QFF656019 QPB656018:QPB656019 QYX656018:QYX656019 RIT656018:RIT656019 RSP656018:RSP656019 SCL656018:SCL656019 SMH656018:SMH656019 SWD656018:SWD656019 TFZ656018:TFZ656019 TPV656018:TPV656019 TZR656018:TZR656019 UJN656018:UJN656019 UTJ656018:UTJ656019 VDF656018:VDF656019 VNB656018:VNB656019 VWX656018:VWX656019 WGT656018:WGT656019 WQP656018:WQP656019 ED721554:ED721555 NZ721554:NZ721555 XV721554:XV721555 AHR721554:AHR721555 ARN721554:ARN721555 BBJ721554:BBJ721555 BLF721554:BLF721555 BVB721554:BVB721555 CEX721554:CEX721555 COT721554:COT721555 CYP721554:CYP721555 DIL721554:DIL721555 DSH721554:DSH721555 ECD721554:ECD721555 ELZ721554:ELZ721555 EVV721554:EVV721555 FFR721554:FFR721555 FPN721554:FPN721555 FZJ721554:FZJ721555 GJF721554:GJF721555 GTB721554:GTB721555 HCX721554:HCX721555 HMT721554:HMT721555 HWP721554:HWP721555 IGL721554:IGL721555 IQH721554:IQH721555 JAD721554:JAD721555 JJZ721554:JJZ721555 JTV721554:JTV721555 KDR721554:KDR721555 KNN721554:KNN721555 KXJ721554:KXJ721555 LHF721554:LHF721555 LRB721554:LRB721555 MAX721554:MAX721555 MKT721554:MKT721555 MUP721554:MUP721555 NEL721554:NEL721555 NOH721554:NOH721555 NYD721554:NYD721555 OHZ721554:OHZ721555 ORV721554:ORV721555 PBR721554:PBR721555 PLN721554:PLN721555 PVJ721554:PVJ721555 QFF721554:QFF721555 QPB721554:QPB721555 QYX721554:QYX721555 RIT721554:RIT721555 RSP721554:RSP721555 SCL721554:SCL721555 SMH721554:SMH721555 SWD721554:SWD721555 TFZ721554:TFZ721555 TPV721554:TPV721555 TZR721554:TZR721555 UJN721554:UJN721555 UTJ721554:UTJ721555 VDF721554:VDF721555 VNB721554:VNB721555 VWX721554:VWX721555 WGT721554:WGT721555 WQP721554:WQP721555 ED787090:ED787091 NZ787090:NZ787091 XV787090:XV787091 AHR787090:AHR787091 ARN787090:ARN787091 BBJ787090:BBJ787091 BLF787090:BLF787091 BVB787090:BVB787091 CEX787090:CEX787091 COT787090:COT787091 CYP787090:CYP787091 DIL787090:DIL787091 DSH787090:DSH787091 ECD787090:ECD787091 ELZ787090:ELZ787091 EVV787090:EVV787091 FFR787090:FFR787091 FPN787090:FPN787091 FZJ787090:FZJ787091 GJF787090:GJF787091 GTB787090:GTB787091 HCX787090:HCX787091 HMT787090:HMT787091 HWP787090:HWP787091 IGL787090:IGL787091 IQH787090:IQH787091 JAD787090:JAD787091 JJZ787090:JJZ787091 JTV787090:JTV787091 KDR787090:KDR787091 KNN787090:KNN787091 KXJ787090:KXJ787091 LHF787090:LHF787091 LRB787090:LRB787091 MAX787090:MAX787091 MKT787090:MKT787091 MUP787090:MUP787091 NEL787090:NEL787091 NOH787090:NOH787091 NYD787090:NYD787091 OHZ787090:OHZ787091 ORV787090:ORV787091 PBR787090:PBR787091 PLN787090:PLN787091 PVJ787090:PVJ787091 QFF787090:QFF787091 QPB787090:QPB787091 QYX787090:QYX787091 RIT787090:RIT787091 RSP787090:RSP787091 SCL787090:SCL787091 SMH787090:SMH787091 SWD787090:SWD787091 TFZ787090:TFZ787091 TPV787090:TPV787091 TZR787090:TZR787091 UJN787090:UJN787091 UTJ787090:UTJ787091 VDF787090:VDF787091 VNB787090:VNB787091 VWX787090:VWX787091 WGT787090:WGT787091 WQP787090:WQP787091 ED852626:ED852627 NZ852626:NZ852627 XV852626:XV852627 AHR852626:AHR852627 ARN852626:ARN852627 BBJ852626:BBJ852627 BLF852626:BLF852627 BVB852626:BVB852627 CEX852626:CEX852627 COT852626:COT852627 CYP852626:CYP852627 DIL852626:DIL852627 DSH852626:DSH852627 ECD852626:ECD852627 ELZ852626:ELZ852627 EVV852626:EVV852627 FFR852626:FFR852627 FPN852626:FPN852627 FZJ852626:FZJ852627 GJF852626:GJF852627 GTB852626:GTB852627 HCX852626:HCX852627 HMT852626:HMT852627 HWP852626:HWP852627 IGL852626:IGL852627 IQH852626:IQH852627 JAD852626:JAD852627 JJZ852626:JJZ852627 JTV852626:JTV852627 KDR852626:KDR852627 KNN852626:KNN852627 KXJ852626:KXJ852627 LHF852626:LHF852627 LRB852626:LRB852627 MAX852626:MAX852627 MKT852626:MKT852627 MUP852626:MUP852627 NEL852626:NEL852627 NOH852626:NOH852627 NYD852626:NYD852627 OHZ852626:OHZ852627 ORV852626:ORV852627 PBR852626:PBR852627 PLN852626:PLN852627 PVJ852626:PVJ852627 QFF852626:QFF852627 QPB852626:QPB852627 QYX852626:QYX852627 RIT852626:RIT852627 RSP852626:RSP852627 SCL852626:SCL852627 SMH852626:SMH852627 SWD852626:SWD852627 TFZ852626:TFZ852627 TPV852626:TPV852627 TZR852626:TZR852627 UJN852626:UJN852627 UTJ852626:UTJ852627 VDF852626:VDF852627 VNB852626:VNB852627 VWX852626:VWX852627 WGT852626:WGT852627 WQP852626:WQP852627 ED918162:ED918163 NZ918162:NZ918163 XV918162:XV918163 AHR918162:AHR918163 ARN918162:ARN918163 BBJ918162:BBJ918163 BLF918162:BLF918163 BVB918162:BVB918163 CEX918162:CEX918163 COT918162:COT918163 CYP918162:CYP918163 DIL918162:DIL918163 DSH918162:DSH918163 ECD918162:ECD918163 ELZ918162:ELZ918163 EVV918162:EVV918163 FFR918162:FFR918163 FPN918162:FPN918163 FZJ918162:FZJ918163 GJF918162:GJF918163 GTB918162:GTB918163 HCX918162:HCX918163 HMT918162:HMT918163 HWP918162:HWP918163 IGL918162:IGL918163 IQH918162:IQH918163 JAD918162:JAD918163 JJZ918162:JJZ918163 JTV918162:JTV918163 KDR918162:KDR918163 KNN918162:KNN918163 KXJ918162:KXJ918163 LHF918162:LHF918163 LRB918162:LRB918163 MAX918162:MAX918163 MKT918162:MKT918163 MUP918162:MUP918163 NEL918162:NEL918163 NOH918162:NOH918163 NYD918162:NYD918163 OHZ918162:OHZ918163 ORV918162:ORV918163 PBR918162:PBR918163 PLN918162:PLN918163 PVJ918162:PVJ918163 QFF918162:QFF918163 QPB918162:QPB918163 QYX918162:QYX918163 RIT918162:RIT918163 RSP918162:RSP918163 SCL918162:SCL918163 SMH918162:SMH918163 SWD918162:SWD918163 TFZ918162:TFZ918163 TPV918162:TPV918163 TZR918162:TZR918163 UJN918162:UJN918163 UTJ918162:UTJ918163 VDF918162:VDF918163 VNB918162:VNB918163 VWX918162:VWX918163 WGT918162:WGT918163 WQP918162:WQP918163 ED983698:ED983699 NZ983698:NZ983699 XV983698:XV983699 AHR983698:AHR983699 ARN983698:ARN983699 BBJ983698:BBJ983699 BLF983698:BLF983699 BVB983698:BVB983699 CEX983698:CEX983699 COT983698:COT983699 CYP983698:CYP983699 DIL983698:DIL983699 DSH983698:DSH983699 ECD983698:ECD983699 ELZ983698:ELZ983699 EVV983698:EVV983699 FFR983698:FFR983699 FPN983698:FPN983699 FZJ983698:FZJ983699 GJF983698:GJF983699 GTB983698:GTB983699 HCX983698:HCX983699 HMT983698:HMT983699 HWP983698:HWP983699 IGL983698:IGL983699 IQH983698:IQH983699 JAD983698:JAD983699 JJZ983698:JJZ983699 JTV983698:JTV983699 KDR983698:KDR983699 KNN983698:KNN983699 KXJ983698:KXJ983699 LHF983698:LHF983699 LRB983698:LRB983699 MAX983698:MAX983699 MKT983698:MKT983699 MUP983698:MUP983699 NEL983698:NEL983699 NOH983698:NOH983699 NYD983698:NYD983699 OHZ983698:OHZ983699 ORV983698:ORV983699 PBR983698:PBR983699 PLN983698:PLN983699 PVJ983698:PVJ983699 QFF983698:QFF983699 QPB983698:QPB983699 QYX983698:QYX983699 RIT983698:RIT983699 RSP983698:RSP983699 SCL983698:SCL983699 SMH983698:SMH983699 SWD983698:SWD983699 TFZ983698:TFZ983699 TPV983698:TPV983699 TZR983698:TZR983699 UJN983698:UJN983699 UTJ983698:UTJ983699 VDF983698:VDF983699 VNB983698:VNB983699 VWX983698:VWX983699 WGT983698:WGT983699 WQP983698:WQP983699 ED66226:ED66230 NZ66226:NZ66230 XV66226:XV66230 AHR66226:AHR66230 ARN66226:ARN66230 BBJ66226:BBJ66230 BLF66226:BLF66230 BVB66226:BVB66230 CEX66226:CEX66230 COT66226:COT66230 CYP66226:CYP66230 DIL66226:DIL66230 DSH66226:DSH66230 ECD66226:ECD66230 ELZ66226:ELZ66230 EVV66226:EVV66230 FFR66226:FFR66230 FPN66226:FPN66230 FZJ66226:FZJ66230 GJF66226:GJF66230 GTB66226:GTB66230 HCX66226:HCX66230 HMT66226:HMT66230 HWP66226:HWP66230 IGL66226:IGL66230 IQH66226:IQH66230 JAD66226:JAD66230 JJZ66226:JJZ66230 JTV66226:JTV66230 KDR66226:KDR66230 KNN66226:KNN66230 KXJ66226:KXJ66230 LHF66226:LHF66230 LRB66226:LRB66230 MAX66226:MAX66230 MKT66226:MKT66230 MUP66226:MUP66230 NEL66226:NEL66230 NOH66226:NOH66230 NYD66226:NYD66230 OHZ66226:OHZ66230 ORV66226:ORV66230 PBR66226:PBR66230 PLN66226:PLN66230 PVJ66226:PVJ66230 QFF66226:QFF66230 QPB66226:QPB66230 QYX66226:QYX66230 RIT66226:RIT66230 RSP66226:RSP66230 SCL66226:SCL66230 SMH66226:SMH66230 SWD66226:SWD66230 TFZ66226:TFZ66230 TPV66226:TPV66230 TZR66226:TZR66230 UJN66226:UJN66230 UTJ66226:UTJ66230 VDF66226:VDF66230 VNB66226:VNB66230 VWX66226:VWX66230 WGT66226:WGT66230 WQP66226:WQP66230 ED131762:ED131766 NZ131762:NZ131766 XV131762:XV131766 AHR131762:AHR131766 ARN131762:ARN131766 BBJ131762:BBJ131766 BLF131762:BLF131766 BVB131762:BVB131766 CEX131762:CEX131766 COT131762:COT131766 CYP131762:CYP131766 DIL131762:DIL131766 DSH131762:DSH131766 ECD131762:ECD131766 ELZ131762:ELZ131766 EVV131762:EVV131766 FFR131762:FFR131766 FPN131762:FPN131766 FZJ131762:FZJ131766 GJF131762:GJF131766 GTB131762:GTB131766 HCX131762:HCX131766 HMT131762:HMT131766 HWP131762:HWP131766 IGL131762:IGL131766 IQH131762:IQH131766 JAD131762:JAD131766 JJZ131762:JJZ131766 JTV131762:JTV131766 KDR131762:KDR131766 KNN131762:KNN131766 KXJ131762:KXJ131766 LHF131762:LHF131766 LRB131762:LRB131766 MAX131762:MAX131766 MKT131762:MKT131766 MUP131762:MUP131766 NEL131762:NEL131766 NOH131762:NOH131766 NYD131762:NYD131766 OHZ131762:OHZ131766 ORV131762:ORV131766 PBR131762:PBR131766 PLN131762:PLN131766 PVJ131762:PVJ131766 QFF131762:QFF131766 QPB131762:QPB131766 QYX131762:QYX131766 RIT131762:RIT131766 RSP131762:RSP131766 SCL131762:SCL131766 SMH131762:SMH131766 SWD131762:SWD131766 TFZ131762:TFZ131766 TPV131762:TPV131766 TZR131762:TZR131766 UJN131762:UJN131766 UTJ131762:UTJ131766 VDF131762:VDF131766 VNB131762:VNB131766 VWX131762:VWX131766 WGT131762:WGT131766 WQP131762:WQP131766 ED197298:ED197302 NZ197298:NZ197302 XV197298:XV197302 AHR197298:AHR197302 ARN197298:ARN197302 BBJ197298:BBJ197302 BLF197298:BLF197302 BVB197298:BVB197302 CEX197298:CEX197302 COT197298:COT197302 CYP197298:CYP197302 DIL197298:DIL197302 DSH197298:DSH197302 ECD197298:ECD197302 ELZ197298:ELZ197302 EVV197298:EVV197302 FFR197298:FFR197302 FPN197298:FPN197302 FZJ197298:FZJ197302 GJF197298:GJF197302 GTB197298:GTB197302 HCX197298:HCX197302 HMT197298:HMT197302 HWP197298:HWP197302 IGL197298:IGL197302 IQH197298:IQH197302 JAD197298:JAD197302 JJZ197298:JJZ197302 JTV197298:JTV197302 KDR197298:KDR197302 KNN197298:KNN197302 KXJ197298:KXJ197302 LHF197298:LHF197302 LRB197298:LRB197302 MAX197298:MAX197302 MKT197298:MKT197302 MUP197298:MUP197302 NEL197298:NEL197302 NOH197298:NOH197302 NYD197298:NYD197302 OHZ197298:OHZ197302 ORV197298:ORV197302 PBR197298:PBR197302 PLN197298:PLN197302 PVJ197298:PVJ197302 QFF197298:QFF197302 QPB197298:QPB197302 QYX197298:QYX197302 RIT197298:RIT197302 RSP197298:RSP197302 SCL197298:SCL197302 SMH197298:SMH197302 SWD197298:SWD197302 TFZ197298:TFZ197302 TPV197298:TPV197302 TZR197298:TZR197302 UJN197298:UJN197302 UTJ197298:UTJ197302 VDF197298:VDF197302 VNB197298:VNB197302 VWX197298:VWX197302 WGT197298:WGT197302 WQP197298:WQP197302 ED262834:ED262838 NZ262834:NZ262838 XV262834:XV262838 AHR262834:AHR262838 ARN262834:ARN262838 BBJ262834:BBJ262838 BLF262834:BLF262838 BVB262834:BVB262838 CEX262834:CEX262838 COT262834:COT262838 CYP262834:CYP262838 DIL262834:DIL262838 DSH262834:DSH262838 ECD262834:ECD262838 ELZ262834:ELZ262838 EVV262834:EVV262838 FFR262834:FFR262838 FPN262834:FPN262838 FZJ262834:FZJ262838 GJF262834:GJF262838 GTB262834:GTB262838 HCX262834:HCX262838 HMT262834:HMT262838 HWP262834:HWP262838 IGL262834:IGL262838 IQH262834:IQH262838 JAD262834:JAD262838 JJZ262834:JJZ262838 JTV262834:JTV262838 KDR262834:KDR262838 KNN262834:KNN262838 KXJ262834:KXJ262838 LHF262834:LHF262838 LRB262834:LRB262838 MAX262834:MAX262838 MKT262834:MKT262838 MUP262834:MUP262838 NEL262834:NEL262838 NOH262834:NOH262838 NYD262834:NYD262838 OHZ262834:OHZ262838 ORV262834:ORV262838 PBR262834:PBR262838 PLN262834:PLN262838 PVJ262834:PVJ262838 QFF262834:QFF262838 QPB262834:QPB262838 QYX262834:QYX262838 RIT262834:RIT262838 RSP262834:RSP262838 SCL262834:SCL262838 SMH262834:SMH262838 SWD262834:SWD262838 TFZ262834:TFZ262838 TPV262834:TPV262838 TZR262834:TZR262838 UJN262834:UJN262838 UTJ262834:UTJ262838 VDF262834:VDF262838 VNB262834:VNB262838 VWX262834:VWX262838 WGT262834:WGT262838 WQP262834:WQP262838 ED328370:ED328374 NZ328370:NZ328374 XV328370:XV328374 AHR328370:AHR328374 ARN328370:ARN328374 BBJ328370:BBJ328374 BLF328370:BLF328374 BVB328370:BVB328374 CEX328370:CEX328374 COT328370:COT328374 CYP328370:CYP328374 DIL328370:DIL328374 DSH328370:DSH328374 ECD328370:ECD328374 ELZ328370:ELZ328374 EVV328370:EVV328374 FFR328370:FFR328374 FPN328370:FPN328374 FZJ328370:FZJ328374 GJF328370:GJF328374 GTB328370:GTB328374 HCX328370:HCX328374 HMT328370:HMT328374 HWP328370:HWP328374 IGL328370:IGL328374 IQH328370:IQH328374 JAD328370:JAD328374 JJZ328370:JJZ328374 JTV328370:JTV328374 KDR328370:KDR328374 KNN328370:KNN328374 KXJ328370:KXJ328374 LHF328370:LHF328374 LRB328370:LRB328374 MAX328370:MAX328374 MKT328370:MKT328374 MUP328370:MUP328374 NEL328370:NEL328374 NOH328370:NOH328374 NYD328370:NYD328374 OHZ328370:OHZ328374 ORV328370:ORV328374 PBR328370:PBR328374 PLN328370:PLN328374 PVJ328370:PVJ328374 QFF328370:QFF328374 QPB328370:QPB328374 QYX328370:QYX328374 RIT328370:RIT328374 RSP328370:RSP328374 SCL328370:SCL328374 SMH328370:SMH328374 SWD328370:SWD328374 TFZ328370:TFZ328374 TPV328370:TPV328374 TZR328370:TZR328374 UJN328370:UJN328374 UTJ328370:UTJ328374 VDF328370:VDF328374 VNB328370:VNB328374 VWX328370:VWX328374 WGT328370:WGT328374 WQP328370:WQP328374 ED393906:ED393910 NZ393906:NZ393910 XV393906:XV393910 AHR393906:AHR393910 ARN393906:ARN393910 BBJ393906:BBJ393910 BLF393906:BLF393910 BVB393906:BVB393910 CEX393906:CEX393910 COT393906:COT393910 CYP393906:CYP393910 DIL393906:DIL393910 DSH393906:DSH393910 ECD393906:ECD393910 ELZ393906:ELZ393910 EVV393906:EVV393910 FFR393906:FFR393910 FPN393906:FPN393910 FZJ393906:FZJ393910 GJF393906:GJF393910 GTB393906:GTB393910 HCX393906:HCX393910 HMT393906:HMT393910 HWP393906:HWP393910 IGL393906:IGL393910 IQH393906:IQH393910 JAD393906:JAD393910 JJZ393906:JJZ393910 JTV393906:JTV393910 KDR393906:KDR393910 KNN393906:KNN393910 KXJ393906:KXJ393910 LHF393906:LHF393910 LRB393906:LRB393910 MAX393906:MAX393910 MKT393906:MKT393910 MUP393906:MUP393910 NEL393906:NEL393910 NOH393906:NOH393910 NYD393906:NYD393910 OHZ393906:OHZ393910 ORV393906:ORV393910 PBR393906:PBR393910 PLN393906:PLN393910 PVJ393906:PVJ393910 QFF393906:QFF393910 QPB393906:QPB393910 QYX393906:QYX393910 RIT393906:RIT393910 RSP393906:RSP393910 SCL393906:SCL393910 SMH393906:SMH393910 SWD393906:SWD393910 TFZ393906:TFZ393910 TPV393906:TPV393910 TZR393906:TZR393910 UJN393906:UJN393910 UTJ393906:UTJ393910 VDF393906:VDF393910 VNB393906:VNB393910 VWX393906:VWX393910 WGT393906:WGT393910 WQP393906:WQP393910 ED459442:ED459446 NZ459442:NZ459446 XV459442:XV459446 AHR459442:AHR459446 ARN459442:ARN459446 BBJ459442:BBJ459446 BLF459442:BLF459446 BVB459442:BVB459446 CEX459442:CEX459446 COT459442:COT459446 CYP459442:CYP459446 DIL459442:DIL459446 DSH459442:DSH459446 ECD459442:ECD459446 ELZ459442:ELZ459446 EVV459442:EVV459446 FFR459442:FFR459446 FPN459442:FPN459446 FZJ459442:FZJ459446 GJF459442:GJF459446 GTB459442:GTB459446 HCX459442:HCX459446 HMT459442:HMT459446 HWP459442:HWP459446 IGL459442:IGL459446 IQH459442:IQH459446 JAD459442:JAD459446 JJZ459442:JJZ459446 JTV459442:JTV459446 KDR459442:KDR459446 KNN459442:KNN459446 KXJ459442:KXJ459446 LHF459442:LHF459446 LRB459442:LRB459446 MAX459442:MAX459446 MKT459442:MKT459446 MUP459442:MUP459446 NEL459442:NEL459446 NOH459442:NOH459446 NYD459442:NYD459446 OHZ459442:OHZ459446 ORV459442:ORV459446 PBR459442:PBR459446 PLN459442:PLN459446 PVJ459442:PVJ459446 QFF459442:QFF459446 QPB459442:QPB459446 QYX459442:QYX459446 RIT459442:RIT459446 RSP459442:RSP459446 SCL459442:SCL459446 SMH459442:SMH459446 SWD459442:SWD459446 TFZ459442:TFZ459446 TPV459442:TPV459446 TZR459442:TZR459446 UJN459442:UJN459446 UTJ459442:UTJ459446 VDF459442:VDF459446 VNB459442:VNB459446 VWX459442:VWX459446 WGT459442:WGT459446 WQP459442:WQP459446 ED524978:ED524982 NZ524978:NZ524982 XV524978:XV524982 AHR524978:AHR524982 ARN524978:ARN524982 BBJ524978:BBJ524982 BLF524978:BLF524982 BVB524978:BVB524982 CEX524978:CEX524982 COT524978:COT524982 CYP524978:CYP524982 DIL524978:DIL524982 DSH524978:DSH524982 ECD524978:ECD524982 ELZ524978:ELZ524982 EVV524978:EVV524982 FFR524978:FFR524982 FPN524978:FPN524982 FZJ524978:FZJ524982 GJF524978:GJF524982 GTB524978:GTB524982 HCX524978:HCX524982 HMT524978:HMT524982 HWP524978:HWP524982 IGL524978:IGL524982 IQH524978:IQH524982 JAD524978:JAD524982 JJZ524978:JJZ524982 JTV524978:JTV524982 KDR524978:KDR524982 KNN524978:KNN524982 KXJ524978:KXJ524982 LHF524978:LHF524982 LRB524978:LRB524982 MAX524978:MAX524982 MKT524978:MKT524982 MUP524978:MUP524982 NEL524978:NEL524982 NOH524978:NOH524982 NYD524978:NYD524982 OHZ524978:OHZ524982 ORV524978:ORV524982 PBR524978:PBR524982 PLN524978:PLN524982 PVJ524978:PVJ524982 QFF524978:QFF524982 QPB524978:QPB524982 QYX524978:QYX524982 RIT524978:RIT524982 RSP524978:RSP524982 SCL524978:SCL524982 SMH524978:SMH524982 SWD524978:SWD524982 TFZ524978:TFZ524982 TPV524978:TPV524982 TZR524978:TZR524982 UJN524978:UJN524982 UTJ524978:UTJ524982 VDF524978:VDF524982 VNB524978:VNB524982 VWX524978:VWX524982 WGT524978:WGT524982 WQP524978:WQP524982 ED590514:ED590518 NZ590514:NZ590518 XV590514:XV590518 AHR590514:AHR590518 ARN590514:ARN590518 BBJ590514:BBJ590518 BLF590514:BLF590518 BVB590514:BVB590518 CEX590514:CEX590518 COT590514:COT590518 CYP590514:CYP590518 DIL590514:DIL590518 DSH590514:DSH590518 ECD590514:ECD590518 ELZ590514:ELZ590518 EVV590514:EVV590518 FFR590514:FFR590518 FPN590514:FPN590518 FZJ590514:FZJ590518 GJF590514:GJF590518 GTB590514:GTB590518 HCX590514:HCX590518 HMT590514:HMT590518 HWP590514:HWP590518 IGL590514:IGL590518 IQH590514:IQH590518 JAD590514:JAD590518 JJZ590514:JJZ590518 JTV590514:JTV590518 KDR590514:KDR590518 KNN590514:KNN590518 KXJ590514:KXJ590518 LHF590514:LHF590518 LRB590514:LRB590518 MAX590514:MAX590518 MKT590514:MKT590518 MUP590514:MUP590518 NEL590514:NEL590518 NOH590514:NOH590518 NYD590514:NYD590518 OHZ590514:OHZ590518 ORV590514:ORV590518 PBR590514:PBR590518 PLN590514:PLN590518 PVJ590514:PVJ590518 QFF590514:QFF590518 QPB590514:QPB590518 QYX590514:QYX590518 RIT590514:RIT590518 RSP590514:RSP590518 SCL590514:SCL590518 SMH590514:SMH590518 SWD590514:SWD590518 TFZ590514:TFZ590518 TPV590514:TPV590518 TZR590514:TZR590518 UJN590514:UJN590518 UTJ590514:UTJ590518 VDF590514:VDF590518 VNB590514:VNB590518 VWX590514:VWX590518 WGT590514:WGT590518 WQP590514:WQP590518 ED656050:ED656054 NZ656050:NZ656054 XV656050:XV656054 AHR656050:AHR656054 ARN656050:ARN656054 BBJ656050:BBJ656054 BLF656050:BLF656054 BVB656050:BVB656054 CEX656050:CEX656054 COT656050:COT656054 CYP656050:CYP656054 DIL656050:DIL656054 DSH656050:DSH656054 ECD656050:ECD656054 ELZ656050:ELZ656054 EVV656050:EVV656054 FFR656050:FFR656054 FPN656050:FPN656054 FZJ656050:FZJ656054 GJF656050:GJF656054 GTB656050:GTB656054 HCX656050:HCX656054 HMT656050:HMT656054 HWP656050:HWP656054 IGL656050:IGL656054 IQH656050:IQH656054 JAD656050:JAD656054 JJZ656050:JJZ656054 JTV656050:JTV656054 KDR656050:KDR656054 KNN656050:KNN656054 KXJ656050:KXJ656054 LHF656050:LHF656054 LRB656050:LRB656054 MAX656050:MAX656054 MKT656050:MKT656054 MUP656050:MUP656054 NEL656050:NEL656054 NOH656050:NOH656054 NYD656050:NYD656054 OHZ656050:OHZ656054 ORV656050:ORV656054 PBR656050:PBR656054 PLN656050:PLN656054 PVJ656050:PVJ656054 QFF656050:QFF656054 QPB656050:QPB656054 QYX656050:QYX656054 RIT656050:RIT656054 RSP656050:RSP656054 SCL656050:SCL656054 SMH656050:SMH656054 SWD656050:SWD656054 TFZ656050:TFZ656054 TPV656050:TPV656054 TZR656050:TZR656054 UJN656050:UJN656054 UTJ656050:UTJ656054 VDF656050:VDF656054 VNB656050:VNB656054 VWX656050:VWX656054 WGT656050:WGT656054 WQP656050:WQP656054 ED721586:ED721590 NZ721586:NZ721590 XV721586:XV721590 AHR721586:AHR721590 ARN721586:ARN721590 BBJ721586:BBJ721590 BLF721586:BLF721590 BVB721586:BVB721590 CEX721586:CEX721590 COT721586:COT721590 CYP721586:CYP721590 DIL721586:DIL721590 DSH721586:DSH721590 ECD721586:ECD721590 ELZ721586:ELZ721590 EVV721586:EVV721590 FFR721586:FFR721590 FPN721586:FPN721590 FZJ721586:FZJ721590 GJF721586:GJF721590 GTB721586:GTB721590 HCX721586:HCX721590 HMT721586:HMT721590 HWP721586:HWP721590 IGL721586:IGL721590 IQH721586:IQH721590 JAD721586:JAD721590 JJZ721586:JJZ721590 JTV721586:JTV721590 KDR721586:KDR721590 KNN721586:KNN721590 KXJ721586:KXJ721590 LHF721586:LHF721590 LRB721586:LRB721590 MAX721586:MAX721590 MKT721586:MKT721590 MUP721586:MUP721590 NEL721586:NEL721590 NOH721586:NOH721590 NYD721586:NYD721590 OHZ721586:OHZ721590 ORV721586:ORV721590 PBR721586:PBR721590 PLN721586:PLN721590 PVJ721586:PVJ721590 QFF721586:QFF721590 QPB721586:QPB721590 QYX721586:QYX721590 RIT721586:RIT721590 RSP721586:RSP721590 SCL721586:SCL721590 SMH721586:SMH721590 SWD721586:SWD721590 TFZ721586:TFZ721590 TPV721586:TPV721590 TZR721586:TZR721590 UJN721586:UJN721590 UTJ721586:UTJ721590 VDF721586:VDF721590 VNB721586:VNB721590 VWX721586:VWX721590 WGT721586:WGT721590 WQP721586:WQP721590 ED787122:ED787126 NZ787122:NZ787126 XV787122:XV787126 AHR787122:AHR787126 ARN787122:ARN787126 BBJ787122:BBJ787126 BLF787122:BLF787126 BVB787122:BVB787126 CEX787122:CEX787126 COT787122:COT787126 CYP787122:CYP787126 DIL787122:DIL787126 DSH787122:DSH787126 ECD787122:ECD787126 ELZ787122:ELZ787126 EVV787122:EVV787126 FFR787122:FFR787126 FPN787122:FPN787126 FZJ787122:FZJ787126 GJF787122:GJF787126 GTB787122:GTB787126 HCX787122:HCX787126 HMT787122:HMT787126 HWP787122:HWP787126 IGL787122:IGL787126 IQH787122:IQH787126 JAD787122:JAD787126 JJZ787122:JJZ787126 JTV787122:JTV787126 KDR787122:KDR787126 KNN787122:KNN787126 KXJ787122:KXJ787126 LHF787122:LHF787126 LRB787122:LRB787126 MAX787122:MAX787126 MKT787122:MKT787126 MUP787122:MUP787126 NEL787122:NEL787126 NOH787122:NOH787126 NYD787122:NYD787126 OHZ787122:OHZ787126 ORV787122:ORV787126 PBR787122:PBR787126 PLN787122:PLN787126 PVJ787122:PVJ787126 QFF787122:QFF787126 QPB787122:QPB787126 QYX787122:QYX787126 RIT787122:RIT787126 RSP787122:RSP787126 SCL787122:SCL787126 SMH787122:SMH787126 SWD787122:SWD787126 TFZ787122:TFZ787126 TPV787122:TPV787126 TZR787122:TZR787126 UJN787122:UJN787126 UTJ787122:UTJ787126 VDF787122:VDF787126 VNB787122:VNB787126 VWX787122:VWX787126 WGT787122:WGT787126 WQP787122:WQP787126 ED852658:ED852662 NZ852658:NZ852662 XV852658:XV852662 AHR852658:AHR852662 ARN852658:ARN852662 BBJ852658:BBJ852662 BLF852658:BLF852662 BVB852658:BVB852662 CEX852658:CEX852662 COT852658:COT852662 CYP852658:CYP852662 DIL852658:DIL852662 DSH852658:DSH852662 ECD852658:ECD852662 ELZ852658:ELZ852662 EVV852658:EVV852662 FFR852658:FFR852662 FPN852658:FPN852662 FZJ852658:FZJ852662 GJF852658:GJF852662 GTB852658:GTB852662 HCX852658:HCX852662 HMT852658:HMT852662 HWP852658:HWP852662 IGL852658:IGL852662 IQH852658:IQH852662 JAD852658:JAD852662 JJZ852658:JJZ852662 JTV852658:JTV852662 KDR852658:KDR852662 KNN852658:KNN852662 KXJ852658:KXJ852662 LHF852658:LHF852662 LRB852658:LRB852662 MAX852658:MAX852662 MKT852658:MKT852662 MUP852658:MUP852662 NEL852658:NEL852662 NOH852658:NOH852662 NYD852658:NYD852662 OHZ852658:OHZ852662 ORV852658:ORV852662 PBR852658:PBR852662 PLN852658:PLN852662 PVJ852658:PVJ852662 QFF852658:QFF852662 QPB852658:QPB852662 QYX852658:QYX852662 RIT852658:RIT852662 RSP852658:RSP852662 SCL852658:SCL852662 SMH852658:SMH852662 SWD852658:SWD852662 TFZ852658:TFZ852662 TPV852658:TPV852662 TZR852658:TZR852662 UJN852658:UJN852662 UTJ852658:UTJ852662 VDF852658:VDF852662 VNB852658:VNB852662 VWX852658:VWX852662 WGT852658:WGT852662 WQP852658:WQP852662 ED918194:ED918198 NZ918194:NZ918198 XV918194:XV918198 AHR918194:AHR918198 ARN918194:ARN918198 BBJ918194:BBJ918198 BLF918194:BLF918198 BVB918194:BVB918198 CEX918194:CEX918198 COT918194:COT918198 CYP918194:CYP918198 DIL918194:DIL918198 DSH918194:DSH918198 ECD918194:ECD918198 ELZ918194:ELZ918198 EVV918194:EVV918198 FFR918194:FFR918198 FPN918194:FPN918198 FZJ918194:FZJ918198 GJF918194:GJF918198 GTB918194:GTB918198 HCX918194:HCX918198 HMT918194:HMT918198 HWP918194:HWP918198 IGL918194:IGL918198 IQH918194:IQH918198 JAD918194:JAD918198 JJZ918194:JJZ918198 JTV918194:JTV918198 KDR918194:KDR918198 KNN918194:KNN918198 KXJ918194:KXJ918198 LHF918194:LHF918198 LRB918194:LRB918198 MAX918194:MAX918198 MKT918194:MKT918198 MUP918194:MUP918198 NEL918194:NEL918198 NOH918194:NOH918198 NYD918194:NYD918198 OHZ918194:OHZ918198 ORV918194:ORV918198 PBR918194:PBR918198 PLN918194:PLN918198 PVJ918194:PVJ918198 QFF918194:QFF918198 QPB918194:QPB918198 QYX918194:QYX918198 RIT918194:RIT918198 RSP918194:RSP918198 SCL918194:SCL918198 SMH918194:SMH918198 SWD918194:SWD918198 TFZ918194:TFZ918198 TPV918194:TPV918198 TZR918194:TZR918198 UJN918194:UJN918198 UTJ918194:UTJ918198 VDF918194:VDF918198 VNB918194:VNB918198 VWX918194:VWX918198 WGT918194:WGT918198 WQP918194:WQP918198 ED983730:ED983734 NZ983730:NZ983734 XV983730:XV983734 AHR983730:AHR983734 ARN983730:ARN983734 BBJ983730:BBJ983734 BLF983730:BLF983734 BVB983730:BVB983734 CEX983730:CEX983734 COT983730:COT983734 CYP983730:CYP983734 DIL983730:DIL983734 DSH983730:DSH983734 ECD983730:ECD983734 ELZ983730:ELZ983734 EVV983730:EVV983734 FFR983730:FFR983734 FPN983730:FPN983734 FZJ983730:FZJ983734 GJF983730:GJF983734 GTB983730:GTB983734 HCX983730:HCX983734 HMT983730:HMT983734 HWP983730:HWP983734 IGL983730:IGL983734 IQH983730:IQH983734 JAD983730:JAD983734 JJZ983730:JJZ983734 JTV983730:JTV983734 KDR983730:KDR983734 KNN983730:KNN983734 KXJ983730:KXJ983734 LHF983730:LHF983734 LRB983730:LRB983734 MAX983730:MAX983734 MKT983730:MKT983734 MUP983730:MUP983734 NEL983730:NEL983734 NOH983730:NOH983734 NYD983730:NYD983734 OHZ983730:OHZ983734 ORV983730:ORV983734 PBR983730:PBR983734 PLN983730:PLN983734 PVJ983730:PVJ983734 QFF983730:QFF983734 QPB983730:QPB983734 QYX983730:QYX983734 RIT983730:RIT983734 RSP983730:RSP983734 SCL983730:SCL983734 SMH983730:SMH983734 SWD983730:SWD983734 TFZ983730:TFZ983734 TPV983730:TPV983734 TZR983730:TZR983734 UJN983730:UJN983734 UTJ983730:UTJ983734 VDF983730:VDF983734 VNB983730:VNB983734 VWX983730:VWX983734 WGT983730:WGT983734 WQP983730:WQP983734 ED66277 NZ66277 XV66277 AHR66277 ARN66277 BBJ66277 BLF66277 BVB66277 CEX66277 COT66277 CYP66277 DIL66277 DSH66277 ECD66277 ELZ66277 EVV66277 FFR66277 FPN66277 FZJ66277 GJF66277 GTB66277 HCX66277 HMT66277 HWP66277 IGL66277 IQH66277 JAD66277 JJZ66277 JTV66277 KDR66277 KNN66277 KXJ66277 LHF66277 LRB66277 MAX66277 MKT66277 MUP66277 NEL66277 NOH66277 NYD66277 OHZ66277 ORV66277 PBR66277 PLN66277 PVJ66277 QFF66277 QPB66277 QYX66277 RIT66277 RSP66277 SCL66277 SMH66277 SWD66277 TFZ66277 TPV66277 TZR66277 UJN66277 UTJ66277 VDF66277 VNB66277 VWX66277 WGT66277 WQP66277 ED131813 NZ131813 XV131813 AHR131813 ARN131813 BBJ131813 BLF131813 BVB131813 CEX131813 COT131813 CYP131813 DIL131813 DSH131813 ECD131813 ELZ131813 EVV131813 FFR131813 FPN131813 FZJ131813 GJF131813 GTB131813 HCX131813 HMT131813 HWP131813 IGL131813 IQH131813 JAD131813 JJZ131813 JTV131813 KDR131813 KNN131813 KXJ131813 LHF131813 LRB131813 MAX131813 MKT131813 MUP131813 NEL131813 NOH131813 NYD131813 OHZ131813 ORV131813 PBR131813 PLN131813 PVJ131813 QFF131813 QPB131813 QYX131813 RIT131813 RSP131813 SCL131813 SMH131813 SWD131813 TFZ131813 TPV131813 TZR131813 UJN131813 UTJ131813 VDF131813 VNB131813 VWX131813 WGT131813 WQP131813 ED197349 NZ197349 XV197349 AHR197349 ARN197349 BBJ197349 BLF197349 BVB197349 CEX197349 COT197349 CYP197349 DIL197349 DSH197349 ECD197349 ELZ197349 EVV197349 FFR197349 FPN197349 FZJ197349 GJF197349 GTB197349 HCX197349 HMT197349 HWP197349 IGL197349 IQH197349 JAD197349 JJZ197349 JTV197349 KDR197349 KNN197349 KXJ197349 LHF197349 LRB197349 MAX197349 MKT197349 MUP197349 NEL197349 NOH197349 NYD197349 OHZ197349 ORV197349 PBR197349 PLN197349 PVJ197349 QFF197349 QPB197349 QYX197349 RIT197349 RSP197349 SCL197349 SMH197349 SWD197349 TFZ197349 TPV197349 TZR197349 UJN197349 UTJ197349 VDF197349 VNB197349 VWX197349 WGT197349 WQP197349 ED262885 NZ262885 XV262885 AHR262885 ARN262885 BBJ262885 BLF262885 BVB262885 CEX262885 COT262885 CYP262885 DIL262885 DSH262885 ECD262885 ELZ262885 EVV262885 FFR262885 FPN262885 FZJ262885 GJF262885 GTB262885 HCX262885 HMT262885 HWP262885 IGL262885 IQH262885 JAD262885 JJZ262885 JTV262885 KDR262885 KNN262885 KXJ262885 LHF262885 LRB262885 MAX262885 MKT262885 MUP262885 NEL262885 NOH262885 NYD262885 OHZ262885 ORV262885 PBR262885 PLN262885 PVJ262885 QFF262885 QPB262885 QYX262885 RIT262885 RSP262885 SCL262885 SMH262885 SWD262885 TFZ262885 TPV262885 TZR262885 UJN262885 UTJ262885 VDF262885 VNB262885 VWX262885 WGT262885 WQP262885 ED328421 NZ328421 XV328421 AHR328421 ARN328421 BBJ328421 BLF328421 BVB328421 CEX328421 COT328421 CYP328421 DIL328421 DSH328421 ECD328421 ELZ328421 EVV328421 FFR328421 FPN328421 FZJ328421 GJF328421 GTB328421 HCX328421 HMT328421 HWP328421 IGL328421 IQH328421 JAD328421 JJZ328421 JTV328421 KDR328421 KNN328421 KXJ328421 LHF328421 LRB328421 MAX328421 MKT328421 MUP328421 NEL328421 NOH328421 NYD328421 OHZ328421 ORV328421 PBR328421 PLN328421 PVJ328421 QFF328421 QPB328421 QYX328421 RIT328421 RSP328421 SCL328421 SMH328421 SWD328421 TFZ328421 TPV328421 TZR328421 UJN328421 UTJ328421 VDF328421 VNB328421 VWX328421 WGT328421 WQP328421 ED393957 NZ393957 XV393957 AHR393957 ARN393957 BBJ393957 BLF393957 BVB393957 CEX393957 COT393957 CYP393957 DIL393957 DSH393957 ECD393957 ELZ393957 EVV393957 FFR393957 FPN393957 FZJ393957 GJF393957 GTB393957 HCX393957 HMT393957 HWP393957 IGL393957 IQH393957 JAD393957 JJZ393957 JTV393957 KDR393957 KNN393957 KXJ393957 LHF393957 LRB393957 MAX393957 MKT393957 MUP393957 NEL393957 NOH393957 NYD393957 OHZ393957 ORV393957 PBR393957 PLN393957 PVJ393957 QFF393957 QPB393957 QYX393957 RIT393957 RSP393957 SCL393957 SMH393957 SWD393957 TFZ393957 TPV393957 TZR393957 UJN393957 UTJ393957 VDF393957 VNB393957 VWX393957 WGT393957 WQP393957 ED459493 NZ459493 XV459493 AHR459493 ARN459493 BBJ459493 BLF459493 BVB459493 CEX459493 COT459493 CYP459493 DIL459493 DSH459493 ECD459493 ELZ459493 EVV459493 FFR459493 FPN459493 FZJ459493 GJF459493 GTB459493 HCX459493 HMT459493 HWP459493 IGL459493 IQH459493 JAD459493 JJZ459493 JTV459493 KDR459493 KNN459493 KXJ459493 LHF459493 LRB459493 MAX459493 MKT459493 MUP459493 NEL459493 NOH459493 NYD459493 OHZ459493 ORV459493 PBR459493 PLN459493 PVJ459493 QFF459493 QPB459493 QYX459493 RIT459493 RSP459493 SCL459493 SMH459493 SWD459493 TFZ459493 TPV459493 TZR459493 UJN459493 UTJ459493 VDF459493 VNB459493 VWX459493 WGT459493 WQP459493 ED525029 NZ525029 XV525029 AHR525029 ARN525029 BBJ525029 BLF525029 BVB525029 CEX525029 COT525029 CYP525029 DIL525029 DSH525029 ECD525029 ELZ525029 EVV525029 FFR525029 FPN525029 FZJ525029 GJF525029 GTB525029 HCX525029 HMT525029 HWP525029 IGL525029 IQH525029 JAD525029 JJZ525029 JTV525029 KDR525029 KNN525029 KXJ525029 LHF525029 LRB525029 MAX525029 MKT525029 MUP525029 NEL525029 NOH525029 NYD525029 OHZ525029 ORV525029 PBR525029 PLN525029 PVJ525029 QFF525029 QPB525029 QYX525029 RIT525029 RSP525029 SCL525029 SMH525029 SWD525029 TFZ525029 TPV525029 TZR525029 UJN525029 UTJ525029 VDF525029 VNB525029 VWX525029 WGT525029 WQP525029 ED590565 NZ590565 XV590565 AHR590565 ARN590565 BBJ590565 BLF590565 BVB590565 CEX590565 COT590565 CYP590565 DIL590565 DSH590565 ECD590565 ELZ590565 EVV590565 FFR590565 FPN590565 FZJ590565 GJF590565 GTB590565 HCX590565 HMT590565 HWP590565 IGL590565 IQH590565 JAD590565 JJZ590565 JTV590565 KDR590565 KNN590565 KXJ590565 LHF590565 LRB590565 MAX590565 MKT590565 MUP590565 NEL590565 NOH590565 NYD590565 OHZ590565 ORV590565 PBR590565 PLN590565 PVJ590565 QFF590565 QPB590565 QYX590565 RIT590565 RSP590565 SCL590565 SMH590565 SWD590565 TFZ590565 TPV590565 TZR590565 UJN590565 UTJ590565 VDF590565 VNB590565 VWX590565 WGT590565 WQP590565 ED656101 NZ656101 XV656101 AHR656101 ARN656101 BBJ656101 BLF656101 BVB656101 CEX656101 COT656101 CYP656101 DIL656101 DSH656101 ECD656101 ELZ656101 EVV656101 FFR656101 FPN656101 FZJ656101 GJF656101 GTB656101 HCX656101 HMT656101 HWP656101 IGL656101 IQH656101 JAD656101 JJZ656101 JTV656101 KDR656101 KNN656101 KXJ656101 LHF656101 LRB656101 MAX656101 MKT656101 MUP656101 NEL656101 NOH656101 NYD656101 OHZ656101 ORV656101 PBR656101 PLN656101 PVJ656101 QFF656101 QPB656101 QYX656101 RIT656101 RSP656101 SCL656101 SMH656101 SWD656101 TFZ656101 TPV656101 TZR656101 UJN656101 UTJ656101 VDF656101 VNB656101 VWX656101 WGT656101 WQP656101 ED721637 NZ721637 XV721637 AHR721637 ARN721637 BBJ721637 BLF721637 BVB721637 CEX721637 COT721637 CYP721637 DIL721637 DSH721637 ECD721637 ELZ721637 EVV721637 FFR721637 FPN721637 FZJ721637 GJF721637 GTB721637 HCX721637 HMT721637 HWP721637 IGL721637 IQH721637 JAD721637 JJZ721637 JTV721637 KDR721637 KNN721637 KXJ721637 LHF721637 LRB721637 MAX721637 MKT721637 MUP721637 NEL721637 NOH721637 NYD721637 OHZ721637 ORV721637 PBR721637 PLN721637 PVJ721637 QFF721637 QPB721637 QYX721637 RIT721637 RSP721637 SCL721637 SMH721637 SWD721637 TFZ721637 TPV721637 TZR721637 UJN721637 UTJ721637 VDF721637 VNB721637 VWX721637 WGT721637 WQP721637 ED787173 NZ787173 XV787173 AHR787173 ARN787173 BBJ787173 BLF787173 BVB787173 CEX787173 COT787173 CYP787173 DIL787173 DSH787173 ECD787173 ELZ787173 EVV787173 FFR787173 FPN787173 FZJ787173 GJF787173 GTB787173 HCX787173 HMT787173 HWP787173 IGL787173 IQH787173 JAD787173 JJZ787173 JTV787173 KDR787173 KNN787173 KXJ787173 LHF787173 LRB787173 MAX787173 MKT787173 MUP787173 NEL787173 NOH787173 NYD787173 OHZ787173 ORV787173 PBR787173 PLN787173 PVJ787173 QFF787173 QPB787173 QYX787173 RIT787173 RSP787173 SCL787173 SMH787173 SWD787173 TFZ787173 TPV787173 TZR787173 UJN787173 UTJ787173 VDF787173 VNB787173 VWX787173 WGT787173 WQP787173 ED852709 NZ852709 XV852709 AHR852709 ARN852709 BBJ852709 BLF852709 BVB852709 CEX852709 COT852709 CYP852709 DIL852709 DSH852709 ECD852709 ELZ852709 EVV852709 FFR852709 FPN852709 FZJ852709 GJF852709 GTB852709 HCX852709 HMT852709 HWP852709 IGL852709 IQH852709 JAD852709 JJZ852709 JTV852709 KDR852709 KNN852709 KXJ852709 LHF852709 LRB852709 MAX852709 MKT852709 MUP852709 NEL852709 NOH852709 NYD852709 OHZ852709 ORV852709 PBR852709 PLN852709 PVJ852709 QFF852709 QPB852709 QYX852709 RIT852709 RSP852709 SCL852709 SMH852709 SWD852709 TFZ852709 TPV852709 TZR852709 UJN852709 UTJ852709 VDF852709 VNB852709 VWX852709 WGT852709 WQP852709 ED918245 NZ918245 XV918245 AHR918245 ARN918245 BBJ918245 BLF918245 BVB918245 CEX918245 COT918245 CYP918245 DIL918245 DSH918245 ECD918245 ELZ918245 EVV918245 FFR918245 FPN918245 FZJ918245 GJF918245 GTB918245 HCX918245 HMT918245 HWP918245 IGL918245 IQH918245 JAD918245 JJZ918245 JTV918245 KDR918245 KNN918245 KXJ918245 LHF918245 LRB918245 MAX918245 MKT918245 MUP918245 NEL918245 NOH918245 NYD918245 OHZ918245 ORV918245 PBR918245 PLN918245 PVJ918245 QFF918245 QPB918245 QYX918245 RIT918245 RSP918245 SCL918245 SMH918245 SWD918245 TFZ918245 TPV918245 TZR918245 UJN918245 UTJ918245 VDF918245 VNB918245 VWX918245 WGT918245 WQP918245 ED983781 NZ983781 XV983781 AHR983781 ARN983781 BBJ983781 BLF983781 BVB983781 CEX983781 COT983781 CYP983781 DIL983781 DSH983781 ECD983781 ELZ983781 EVV983781 FFR983781 FPN983781 FZJ983781 GJF983781 GTB983781 HCX983781 HMT983781 HWP983781 IGL983781 IQH983781 JAD983781 JJZ983781 JTV983781 KDR983781 KNN983781 KXJ983781 LHF983781 LRB983781 MAX983781 MKT983781 MUP983781 NEL983781 NOH983781 NYD983781 OHZ983781 ORV983781 PBR983781 PLN983781 PVJ983781 QFF983781 QPB983781 QYX983781 RIT983781 RSP983781 SCL983781 SMH983781 SWD983781 TFZ983781 TPV983781 TZR983781 UJN983781 UTJ983781 VDF983781 VNB983781 VWX983781 WGT983781 ED744:ED753 ED738:ED741 WQP738:WQP741 WGT738:WGT741 VWX738:VWX741 VNB738:VNB741 VDF738:VDF741 UTJ738:UTJ741 UJN738:UJN741 TZR738:TZR741 TPV738:TPV741 TFZ738:TFZ741 SWD738:SWD741 SMH738:SMH741 SCL738:SCL741 RSP738:RSP741 RIT738:RIT741 QYX738:QYX741 QPB738:QPB741 QFF738:QFF741 PVJ738:PVJ741 PLN738:PLN741 PBR738:PBR741 ORV738:ORV741 OHZ738:OHZ741 NYD738:NYD741 NOH738:NOH741 NEL738:NEL741 MUP738:MUP741 MKT738:MKT741 MAX738:MAX741 LRB738:LRB741 LHF738:LHF741 KXJ738:KXJ741 KNN738:KNN741 KDR738:KDR741 JTV738:JTV741 JJZ738:JJZ741 JAD738:JAD741 IQH738:IQH741 IGL738:IGL741 HWP738:HWP741 HMT738:HMT741 HCX738:HCX741 GTB738:GTB741 GJF738:GJF741 FZJ738:FZJ741 FPN738:FPN741 FFR738:FFR741 EVV738:EVV741 ELZ738:ELZ741 ECD738:ECD741 DSH738:DSH741 DIL738:DIL741 CYP738:CYP741 COT738:COT741 CEX738:CEX741 BVB738:BVB741 BLF738:BLF741 BBJ738:BBJ741 ARN738:ARN741 AHR738:AHR741 XV738:XV741 NZ738:NZ741 AHR641:AHR691 ARN641:ARN691 BBJ641:BBJ691 BLF641:BLF691 BVB641:BVB691 CEX641:CEX691 COT641:COT691 CYP641:CYP691 DIL641:DIL691 DSH641:DSH691 ECD641:ECD691 ELZ641:ELZ691 EVV641:EVV691 FFR641:FFR691 FPN641:FPN691 FZJ641:FZJ691 GJF641:GJF691 GTB641:GTB691 HCX641:HCX691 HMT641:HMT691 HWP641:HWP691 IGL641:IGL691 IQH641:IQH691 JAD641:JAD691 JJZ641:JJZ691 JTV641:JTV691 KDR641:KDR691 KNN641:KNN691 KXJ641:KXJ691 LHF641:LHF691 LRB641:LRB691 MAX641:MAX691 MKT641:MKT691 MUP641:MUP691 NEL641:NEL691 NOH641:NOH691 NYD641:NYD691 OHZ641:OHZ691 ORV641:ORV691 PBR641:PBR691 PLN641:PLN691 PVJ641:PVJ691 QFF641:QFF691 QPB641:QPB691 QYX641:QYX691 RIT641:RIT691 RSP641:RSP691 SCL641:SCL691 SMH641:SMH691 SWD641:SWD691 TFZ641:TFZ691 TPV641:TPV691 TZR641:TZR691 UJN641:UJN691 UTJ641:UTJ691 VDF641:VDF691 VNB641:VNB691 VWX641:VWX691 WGT641:WGT691 WQP641:WQP691 NZ641:NZ691 ED641:ED691 XV641:XV691 WGT438:WGT638 WQP438:WQP638 ED438:ED638 NZ438:NZ638 XV438:XV638 AHR438:AHR638 ARN438:ARN638 BBJ438:BBJ638 BLF438:BLF638 BVB438:BVB638 CEX438:CEX638 COT438:COT638 CYP438:CYP638 DIL438:DIL638 DSH438:DSH638 ECD438:ECD638 ELZ438:ELZ638 EVV438:EVV638 FFR438:FFR638 FPN438:FPN638 FZJ438:FZJ638 GJF438:GJF638 GTB438:GTB638 HCX438:HCX638 HMT438:HMT638 HWP438:HWP638 IGL438:IGL638 IQH438:IQH638 JAD438:JAD638 JJZ438:JJZ638 JTV438:JTV638 KDR438:KDR638 KNN438:KNN638 KXJ438:KXJ638 LHF438:LHF638 LRB438:LRB638 MAX438:MAX638 MKT438:MKT638 MUP438:MUP638 NEL438:NEL638 NOH438:NOH638 NYD438:NYD638 OHZ438:OHZ638 ORV438:ORV638 PBR438:PBR638 PLN438:PLN638 PVJ438:PVJ638 QFF438:QFF638 QPB438:QPB638 QYX438:QYX638 RIT438:RIT638 RSP438:RSP638 SCL438:SCL638 SMH438:SMH638 SWD438:SWD638 TFZ438:TFZ638 TPV438:TPV638 TZR438:TZR638 UJN438:UJN638 UTJ438:UTJ638 VDF438:VDF638 VNB438:VNB638 VWX438:VWX638 WQP7:WQP48 WGT7:WGT48 VWX7:VWX48 VNB7:VNB48 VDF7:VDF48 UTJ7:UTJ48 UJN7:UJN48 TZR7:TZR48 TPV7:TPV48 TFZ7:TFZ48 SWD7:SWD48 SMH7:SMH48 SCL7:SCL48 RSP7:RSP48 RIT7:RIT48 QYX7:QYX48 QPB7:QPB48 QFF7:QFF48 PVJ7:PVJ48 PLN7:PLN48 PBR7:PBR48 ORV7:ORV48 OHZ7:OHZ48 NYD7:NYD48 NOH7:NOH48 NEL7:NEL48 MUP7:MUP48 MKT7:MKT48 MAX7:MAX48 LRB7:LRB48 LHF7:LHF48 KXJ7:KXJ48 KNN7:KNN48 KDR7:KDR48 JTV7:JTV48 JJZ7:JJZ48 JAD7:JAD48 IQH7:IQH48 IGL7:IGL48 HWP7:HWP48 HMT7:HMT48 HCX7:HCX48 GTB7:GTB48 GJF7:GJF48 FZJ7:FZJ48 FPN7:FPN48 FFR7:FFR48 EVV7:EVV48 ELZ7:ELZ48 ECD7:ECD48 DSH7:DSH48 DIL7:DIL48 CYP7:CYP48 COT7:COT48 CEX7:CEX48 BVB7:BVB48 BLF7:BLF48 BBJ7:BBJ48 ARN7:ARN48 AHR7:AHR48 XV7:XV48 NZ7:NZ48 ED7:ED48 NZ51:NZ86 XV51:XV86 AHR51:AHR86 ARN51:ARN86 BBJ51:BBJ86 BLF51:BLF86 BVB51:BVB86 CEX51:CEX86 COT51:COT86 CYP51:CYP86 DIL51:DIL86 DSH51:DSH86 ECD51:ECD86 ELZ51:ELZ86 EVV51:EVV86 FFR51:FFR86 FPN51:FPN86 FZJ51:FZJ86 GJF51:GJF86 GTB51:GTB86 HCX51:HCX86 HMT51:HMT86 HWP51:HWP86 IGL51:IGL86 IQH51:IQH86 JAD51:JAD86 JJZ51:JJZ86 JTV51:JTV86 KDR51:KDR86 KNN51:KNN86 KXJ51:KXJ86 LHF51:LHF86 LRB51:LRB86 MAX51:MAX86 MKT51:MKT86 MUP51:MUP86 NEL51:NEL86 NOH51:NOH86 NYD51:NYD86 OHZ51:OHZ86 ORV51:ORV86 PBR51:PBR86 PLN51:PLN86 PVJ51:PVJ86 QFF51:QFF86 QPB51:QPB86 QYX51:QYX86 RIT51:RIT86 RSP51:RSP86 SCL51:SCL86 SMH51:SMH86 SWD51:SWD86 TFZ51:TFZ86 TPV51:TPV86 TZR51:TZR86 UJN51:UJN86 UTJ51:UTJ86 VDF51:VDF86 VNB51:VNB86 VWX51:VWX86 WGT51:WGT86 WQP51:WQP86 ED51:ED86 WGT88:WGT148 WQP88:WQP148 ED88:ED148 NZ88:NZ148 XV88:XV148 AHR88:AHR148 ARN88:ARN148 BBJ88:BBJ148 BLF88:BLF148 BVB88:BVB148 CEX88:CEX148 COT88:COT148 CYP88:CYP148 DIL88:DIL148 DSH88:DSH148 ECD88:ECD148 ELZ88:ELZ148 EVV88:EVV148 FFR88:FFR148 FPN88:FPN148 FZJ88:FZJ148 GJF88:GJF148 GTB88:GTB148 HCX88:HCX148 HMT88:HMT148 HWP88:HWP148 IGL88:IGL148 IQH88:IQH148 JAD88:JAD148 JJZ88:JJZ148 JTV88:JTV148 KDR88:KDR148 KNN88:KNN148 KXJ88:KXJ148 LHF88:LHF148 LRB88:LRB148 MAX88:MAX148 MKT88:MKT148 MUP88:MUP148 NEL88:NEL148 NOH88:NOH148 NYD88:NYD148 OHZ88:OHZ148 ORV88:ORV148 PBR88:PBR148 PLN88:PLN148 PVJ88:PVJ148 QFF88:QFF148 QPB88:QPB148 QYX88:QYX148 RIT88:RIT148 RSP88:RSP148 SCL88:SCL148 SMH88:SMH148 SWD88:SWD148 TFZ88:TFZ148 TPV88:TPV148 TZR88:TZR148 UJN88:UJN148 UTJ88:UTJ148 VDF88:VDF148 VNB88:VNB148 VWX88:VWX148 WGT219:WGT358 WQP219:WQP358 ED219:ED358 NZ219:NZ358 XV219:XV358 AHR219:AHR358 ARN219:ARN358 BBJ219:BBJ358 BLF219:BLF358 BVB219:BVB358 CEX219:CEX358 COT219:COT358 CYP219:CYP358 DIL219:DIL358 DSH219:DSH358 ECD219:ECD358 ELZ219:ELZ358 EVV219:EVV358 FFR219:FFR358 FPN219:FPN358 FZJ219:FZJ358 GJF219:GJF358 GTB219:GTB358 HCX219:HCX358 HMT219:HMT358 HWP219:HWP358 IGL219:IGL358 IQH219:IQH358 JAD219:JAD358 JJZ219:JJZ358 JTV219:JTV358 KDR219:KDR358 KNN219:KNN358 KXJ219:KXJ358 LHF219:LHF358 LRB219:LRB358 MAX219:MAX358 MKT219:MKT358 MUP219:MUP358 NEL219:NEL358 NOH219:NOH358 NYD219:NYD358 OHZ219:OHZ358 ORV219:ORV358 PBR219:PBR358 PLN219:PLN358 PVJ219:PVJ358 QFF219:QFF358 QPB219:QPB358 QYX219:QYX358 RIT219:RIT358 RSP219:RSP358 SCL219:SCL358 SMH219:SMH358 SWD219:SWD358 TFZ219:TFZ358 TPV219:TPV358 TZR219:TZR358 UJN219:UJN358 UTJ219:UTJ358 VDF219:VDF358 VNB219:VNB358 VWX219:VWX358 ED411:ED434 WQP411:WQP434 WGT411:WGT434 VWX411:VWX434 VNB411:VNB434 VDF411:VDF434 UTJ411:UTJ434 UJN411:UJN434 TZR411:TZR434 TPV411:TPV434 TFZ411:TFZ434 SWD411:SWD434 SMH411:SMH434 SCL411:SCL434 RSP411:RSP434 RIT411:RIT434 QYX411:QYX434 QPB411:QPB434 QFF411:QFF434 PVJ411:PVJ434 PLN411:PLN434 PBR411:PBR434 ORV411:ORV434 OHZ411:OHZ434 NYD411:NYD434 NOH411:NOH434 NEL411:NEL434 MUP411:MUP434 MKT411:MKT434 MAX411:MAX434 LRB411:LRB434 LHF411:LHF434 KXJ411:KXJ434 KNN411:KNN434 KDR411:KDR434 JTV411:JTV434 JJZ411:JJZ434 JAD411:JAD434 IQH411:IQH434 IGL411:IGL434 HWP411:HWP434 HMT411:HMT434 HCX411:HCX434 GTB411:GTB434 GJF411:GJF434 FZJ411:FZJ434 FPN411:FPN434 FFR411:FFR434 EVV411:EVV434 ELZ411:ELZ434 ECD411:ECD434 DSH411:DSH434 DIL411:DIL434 CYP411:CYP434 COT411:COT434 CEX411:CEX434 BVB411:BVB434 BLF411:BLF434 BBJ411:BBJ434 ARN411:ARN434 AHR411:AHR434 XV411:XV434 NZ411:NZ434 WGT151:WGT216 VWX151:VWX216 VNB151:VNB216 VDF151:VDF216 UTJ151:UTJ216 UJN151:UJN216 TZR151:TZR216 TPV151:TPV216 TFZ151:TFZ216 SWD151:SWD216 SMH151:SMH216 SCL151:SCL216 RSP151:RSP216 RIT151:RIT216 QYX151:QYX216 QPB151:QPB216 QFF151:QFF216 PVJ151:PVJ216 PLN151:PLN216 PBR151:PBR216 ORV151:ORV216 OHZ151:OHZ216 NYD151:NYD216 NOH151:NOH216 NEL151:NEL216 MUP151:MUP216 MKT151:MKT216 MAX151:MAX216 LRB151:LRB216 LHF151:LHF216 KXJ151:KXJ216 KNN151:KNN216 KDR151:KDR216 JTV151:JTV216 JJZ151:JJZ216 JAD151:JAD216 IQH151:IQH216 IGL151:IGL216 HWP151:HWP216 HMT151:HMT216 HCX151:HCX216 GTB151:GTB216 GJF151:GJF216 FZJ151:FZJ216 FPN151:FPN216 FFR151:FFR216 EVV151:EVV216 ELZ151:ELZ216 ECD151:ECD216 DSH151:DSH216 DIL151:DIL216 CYP151:CYP216 COT151:COT216 CEX151:CEX216 BVB151:BVB216 BLF151:BLF216 BBJ151:BBJ216 ARN151:ARN216 AHR151:AHR216 XV151:XV216 NZ151:NZ216 ED151:ED216 WQP151:WQP216 WQP361:WQP409 ED361:ED409 NZ361:NZ409 XV361:XV409 AHR361:AHR409 ARN361:ARN409 BBJ361:BBJ409 BLF361:BLF409 BVB361:BVB409 CEX361:CEX409 COT361:COT409 CYP361:CYP409 DIL361:DIL409 DSH361:DSH409 ECD361:ECD409 ELZ361:ELZ409 EVV361:EVV409 FFR361:FFR409 FPN361:FPN409 FZJ361:FZJ409 GJF361:GJF409 GTB361:GTB409 HCX361:HCX409 HMT361:HMT409 HWP361:HWP409 IGL361:IGL409 IQH361:IQH409 JAD361:JAD409 JJZ361:JJZ409 JTV361:JTV409 KDR361:KDR409 KNN361:KNN409 KXJ361:KXJ409 LHF361:LHF409 LRB361:LRB409 MAX361:MAX409 MKT361:MKT409 MUP361:MUP409 NEL361:NEL409 NOH361:NOH409 NYD361:NYD409 OHZ361:OHZ409 ORV361:ORV409 PBR361:PBR409 PLN361:PLN409 PVJ361:PVJ409 QFF361:QFF409 QPB361:QPB409 QYX361:QYX409 RIT361:RIT409 RSP361:RSP409 SCL361:SCL409 SMH361:SMH409 SWD361:SWD409 TFZ361:TFZ409 TPV361:TPV409 TZR361:TZR409 UJN361:UJN409 UTJ361:UTJ409 VDF361:VDF409 VNB361:VNB409 VWX361:VWX409 WGT361:WGT409 ED694:ED727 WQP694:WQP727 WGT694:WGT727 VWX694:VWX727 VNB694:VNB727 VDF694:VDF727 UTJ694:UTJ727 UJN694:UJN727 TZR694:TZR727 TPV694:TPV727 TFZ694:TFZ727 SWD694:SWD727 SMH694:SMH727 SCL694:SCL727 RSP694:RSP727 RIT694:RIT727 QYX694:QYX727 QPB694:QPB727 QFF694:QFF727 PVJ694:PVJ727 PLN694:PLN727 PBR694:PBR727 ORV694:ORV727 OHZ694:OHZ727 NYD694:NYD727 NOH694:NOH727 NEL694:NEL727 MUP694:MUP727 MKT694:MKT727 MAX694:MAX727 LRB694:LRB727 LHF694:LHF727 KXJ694:KXJ727 KNN694:KNN727 KDR694:KDR727 JTV694:JTV727 JJZ694:JJZ727 JAD694:JAD727 IQH694:IQH727 IGL694:IGL727 HWP694:HWP727 HMT694:HMT727 HCX694:HCX727 GTB694:GTB727 GJF694:GJF727 FZJ694:FZJ727 FPN694:FPN727 FFR694:FFR727 EVV694:EVV727 ELZ694:ELZ727 ECD694:ECD727 DSH694:DSH727 DIL694:DIL727 CYP694:CYP727 COT694:COT727 CEX694:CEX727 BVB694:BVB727 BLF694:BLF727 BBJ694:BBJ727 ARN694:ARN727 AHR694:AHR727 XV694:XV727 NZ694:NZ727</xm:sqref>
        </x14:dataValidation>
        <x14:dataValidation type="list" allowBlank="1" showInputMessage="1" showErrorMessage="1" xr:uid="{2BA982E6-C158-418C-B3FF-7877CDF0DA5A}">
          <x14:formula1>
            <xm:f>Lists!$C$143:$C$148</xm:f>
          </x14:formula1>
          <xm:sqref>E39:E40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341B-6814-47A3-8345-F7A80578CA13}">
  <sheetPr codeName="Sheet8">
    <tabColor theme="7" tint="0.79998168889431442"/>
  </sheetPr>
  <dimension ref="B2:M115"/>
  <sheetViews>
    <sheetView showGridLines="0" workbookViewId="0">
      <pane ySplit="6" topLeftCell="A7" activePane="bottomLeft" state="frozen"/>
      <selection pane="bottomLeft"/>
    </sheetView>
  </sheetViews>
  <sheetFormatPr defaultColWidth="8.7109375" defaultRowHeight="12.75"/>
  <cols>
    <col min="1" max="1" width="5" customWidth="1"/>
    <col min="2" max="2" width="16.5703125" customWidth="1"/>
    <col min="3" max="5" width="19.42578125" customWidth="1"/>
    <col min="6" max="7" width="18.5703125" customWidth="1"/>
    <col min="8" max="9" width="18.5703125" style="315" customWidth="1"/>
    <col min="10" max="10" width="18.5703125" customWidth="1"/>
    <col min="11" max="11" width="18.5703125" style="315" customWidth="1"/>
    <col min="12" max="13" width="16.5703125" customWidth="1"/>
  </cols>
  <sheetData>
    <row r="2" spans="2:11" ht="16.350000000000001" customHeight="1">
      <c r="B2" s="225" t="str">
        <f>CONTENTS!$B$2</f>
        <v>Petroleum and Gas Estimated Rehabilitation Cost Calculator</v>
      </c>
      <c r="C2" s="225"/>
    </row>
    <row r="3" spans="2:11" ht="20.100000000000001" customHeight="1">
      <c r="B3" s="20" t="s">
        <v>305</v>
      </c>
      <c r="C3" s="459" t="s">
        <v>1709</v>
      </c>
      <c r="D3" s="460"/>
      <c r="E3" s="190" t="str">
        <f>IF(OR(Registration!D19=Lists!$C$7,Registration!D19=Lists!$C$8),"Applied","Not applied")</f>
        <v>Not applied</v>
      </c>
      <c r="H3"/>
      <c r="I3"/>
    </row>
    <row r="4" spans="2:11">
      <c r="D4" s="461"/>
      <c r="F4" s="462"/>
    </row>
    <row r="5" spans="2:11">
      <c r="D5" s="461"/>
      <c r="H5"/>
      <c r="I5"/>
      <c r="K5" s="463" t="s">
        <v>1710</v>
      </c>
    </row>
    <row r="6" spans="2:11">
      <c r="B6" s="464" t="s">
        <v>1711</v>
      </c>
      <c r="C6" s="465" t="s">
        <v>281</v>
      </c>
      <c r="D6" s="466"/>
      <c r="E6" s="467"/>
      <c r="F6" s="464" t="s">
        <v>248</v>
      </c>
      <c r="G6" s="464" t="s">
        <v>1</v>
      </c>
      <c r="H6" s="464" t="s">
        <v>1712</v>
      </c>
      <c r="I6" s="464" t="s">
        <v>1713</v>
      </c>
      <c r="J6" s="464" t="s">
        <v>1</v>
      </c>
      <c r="K6" s="464" t="s">
        <v>1714</v>
      </c>
    </row>
    <row r="7" spans="2:11">
      <c r="B7" s="468" t="str">
        <f>Main!D89</f>
        <v>#3.01</v>
      </c>
      <c r="C7" s="469" t="str">
        <f>VLOOKUP(B7,CampsMainInput,Main!$E$756,FALSE)</f>
        <v>Small temporary camp (&lt;= 50 persons)</v>
      </c>
      <c r="D7" s="470"/>
      <c r="E7" s="471"/>
      <c r="F7" s="472">
        <f>VLOOKUP($C7,conc_levy_sp_mass_defs,Assumptions!$E$1,FALSE)</f>
        <v>0</v>
      </c>
      <c r="G7" s="473" t="str">
        <f>VLOOKUP(C7,Assumptions!$C$216:$D$219,2,FALSE)</f>
        <v>t/m2</v>
      </c>
      <c r="H7" s="474" t="s">
        <v>8</v>
      </c>
      <c r="I7" s="474">
        <f>VLOOKUP(B7,CampsMain,Main!$H$756,FALSE)</f>
        <v>0</v>
      </c>
      <c r="J7" s="475" t="s">
        <v>88</v>
      </c>
      <c r="K7" s="476">
        <f t="shared" ref="K7:K70" si="0">(IF(H7="N/A",0,H7)+I7)*F7</f>
        <v>0</v>
      </c>
    </row>
    <row r="8" spans="2:11">
      <c r="B8" s="468" t="str">
        <f>Main!D90</f>
        <v>#3.02</v>
      </c>
      <c r="C8" s="469" t="str">
        <f>VLOOKUP(B8,CampsMainInput,Main!$E$756,FALSE)</f>
        <v>Larger temporary camp (&gt; 50 persons)</v>
      </c>
      <c r="D8" s="470"/>
      <c r="E8" s="471"/>
      <c r="F8" s="472">
        <f>VLOOKUP($C8,conc_levy_sp_mass_defs,Assumptions!$E$1,FALSE)</f>
        <v>1.8541595481679496E-3</v>
      </c>
      <c r="G8" s="473" t="str">
        <f>VLOOKUP(C8,Assumptions!$C$216:$D$219,2,FALSE)</f>
        <v>t/m2</v>
      </c>
      <c r="H8" s="474" t="s">
        <v>8</v>
      </c>
      <c r="I8" s="474">
        <f>VLOOKUP(B8,CampsMain,Main!$H$756,FALSE)</f>
        <v>0</v>
      </c>
      <c r="J8" s="475" t="s">
        <v>88</v>
      </c>
      <c r="K8" s="476">
        <f t="shared" si="0"/>
        <v>0</v>
      </c>
    </row>
    <row r="9" spans="2:11">
      <c r="B9" s="468" t="str">
        <f>Main!D91</f>
        <v>#3.03</v>
      </c>
      <c r="C9" s="469" t="str">
        <f>VLOOKUP(B9,CampsMainInput,Main!$E$756,FALSE)</f>
        <v>Small permament camp (&lt;= 50 persons)</v>
      </c>
      <c r="D9" s="470"/>
      <c r="E9" s="471"/>
      <c r="F9" s="472">
        <f>VLOOKUP($C9,conc_levy_sp_mass_defs,Assumptions!$E$1,FALSE)</f>
        <v>4.2706131078224102E-2</v>
      </c>
      <c r="G9" s="473" t="str">
        <f>VLOOKUP(C9,Assumptions!$C$216:$D$219,2,FALSE)</f>
        <v>t/m2</v>
      </c>
      <c r="H9" s="474" t="s">
        <v>8</v>
      </c>
      <c r="I9" s="474">
        <f>VLOOKUP(B9,CampsMain,Main!$H$756,FALSE)</f>
        <v>0</v>
      </c>
      <c r="J9" s="475" t="s">
        <v>88</v>
      </c>
      <c r="K9" s="476">
        <f t="shared" si="0"/>
        <v>0</v>
      </c>
    </row>
    <row r="10" spans="2:11">
      <c r="B10" s="468" t="str">
        <f>Main!D92</f>
        <v>#3.04</v>
      </c>
      <c r="C10" s="469" t="str">
        <f>VLOOKUP(B10,CampsMainInput,Main!$E$756,FALSE)</f>
        <v>Larger permanent camp (&gt; 50 persons)</v>
      </c>
      <c r="D10" s="470"/>
      <c r="E10" s="471"/>
      <c r="F10" s="472">
        <f>VLOOKUP($C10,conc_levy_sp_mass_defs,Assumptions!$E$1,FALSE)</f>
        <v>4.1156708349375293E-2</v>
      </c>
      <c r="G10" s="473" t="str">
        <f>VLOOKUP(C10,Assumptions!$C$216:$D$219,2,FALSE)</f>
        <v>t/m2</v>
      </c>
      <c r="H10" s="474" t="s">
        <v>8</v>
      </c>
      <c r="I10" s="474">
        <f>VLOOKUP(B10,CampsMain,Main!$H$756,FALSE)</f>
        <v>0</v>
      </c>
      <c r="J10" s="475" t="s">
        <v>88</v>
      </c>
      <c r="K10" s="476">
        <f t="shared" si="0"/>
        <v>0</v>
      </c>
    </row>
    <row r="11" spans="2:11">
      <c r="B11" s="468" t="str">
        <f>Main!D93</f>
        <v>#3.05</v>
      </c>
      <c r="C11" s="469" t="str">
        <f>VLOOKUP(B11,CampsMainInput,Main!$E$756,FALSE)</f>
        <v>Temporary camp - &lt;= 20 persons</v>
      </c>
      <c r="D11" s="470"/>
      <c r="E11" s="471"/>
      <c r="F11" s="474">
        <f>VLOOKUP($C11,conc_levy_sp_mass_defs,Assumptions!$E$1,FALSE)</f>
        <v>0</v>
      </c>
      <c r="G11" s="473" t="str">
        <f>VLOOKUP($C11,Assumptions!$C$220:$D$273,2,FALSE)</f>
        <v>t/camp</v>
      </c>
      <c r="H11" s="474">
        <f>HLOOKUP(C11,'Seismic and Infrastructure'!$L$74:$AO$107,'Seismic and Infrastructure'!$AQ$107,FALSE)</f>
        <v>0</v>
      </c>
      <c r="I11" s="474">
        <f>VLOOKUP(B11,CampsMain,Main!$H$756,FALSE)</f>
        <v>0</v>
      </c>
      <c r="J11" s="477" t="s">
        <v>609</v>
      </c>
      <c r="K11" s="476">
        <f t="shared" si="0"/>
        <v>0</v>
      </c>
    </row>
    <row r="12" spans="2:11">
      <c r="B12" s="468" t="str">
        <f>Main!D94</f>
        <v>#3.06</v>
      </c>
      <c r="C12" s="469" t="str">
        <f>VLOOKUP(B12,CampsMainInput,Main!$E$756,FALSE)</f>
        <v>Temporary camp - &gt; 20 and &lt;= 50 persons</v>
      </c>
      <c r="D12" s="470"/>
      <c r="E12" s="471"/>
      <c r="F12" s="474">
        <f>VLOOKUP($C12,conc_levy_sp_mass_defs,Assumptions!$E$1,FALSE)</f>
        <v>0</v>
      </c>
      <c r="G12" s="473" t="str">
        <f>VLOOKUP($C12,Assumptions!$C$220:$D$273,2,FALSE)</f>
        <v>t/camp</v>
      </c>
      <c r="H12" s="474">
        <f>HLOOKUP(C12,'Seismic and Infrastructure'!$L$74:$AO$107,'Seismic and Infrastructure'!$AQ$107,FALSE)</f>
        <v>0</v>
      </c>
      <c r="I12" s="474">
        <f>VLOOKUP(B12,CampsMain,Main!$H$756,FALSE)</f>
        <v>0</v>
      </c>
      <c r="J12" s="477" t="s">
        <v>609</v>
      </c>
      <c r="K12" s="476">
        <f t="shared" si="0"/>
        <v>0</v>
      </c>
    </row>
    <row r="13" spans="2:11">
      <c r="B13" s="468" t="str">
        <f>Main!D95</f>
        <v>#3.07</v>
      </c>
      <c r="C13" s="469" t="str">
        <f>VLOOKUP(B13,CampsMainInput,Main!$E$756,FALSE)</f>
        <v>Temporary camp - &gt; 50 and &lt;= 100 persons</v>
      </c>
      <c r="D13" s="470"/>
      <c r="E13" s="471"/>
      <c r="F13" s="474">
        <f>VLOOKUP($C13,conc_levy_sp_mass_defs,Assumptions!$E$1,FALSE)</f>
        <v>0</v>
      </c>
      <c r="G13" s="473" t="str">
        <f>VLOOKUP($C13,Assumptions!$C$220:$D$273,2,FALSE)</f>
        <v>t/camp</v>
      </c>
      <c r="H13" s="474">
        <f>HLOOKUP(C13,'Seismic and Infrastructure'!$L$74:$AO$107,'Seismic and Infrastructure'!$AQ$107,FALSE)</f>
        <v>0</v>
      </c>
      <c r="I13" s="474">
        <f>VLOOKUP(B13,CampsMain,Main!$H$756,FALSE)</f>
        <v>0</v>
      </c>
      <c r="J13" s="477" t="s">
        <v>609</v>
      </c>
      <c r="K13" s="476">
        <f t="shared" si="0"/>
        <v>0</v>
      </c>
    </row>
    <row r="14" spans="2:11">
      <c r="B14" s="468" t="str">
        <f>Main!D96</f>
        <v>#3.08</v>
      </c>
      <c r="C14" s="469" t="str">
        <f>VLOOKUP(B14,CampsMainInput,Main!$E$756,FALSE)</f>
        <v>Temporary camp - &gt; 100 and &lt;= 150 persons</v>
      </c>
      <c r="D14" s="470"/>
      <c r="E14" s="471"/>
      <c r="F14" s="474">
        <f>VLOOKUP($C14,conc_levy_sp_mass_defs,Assumptions!$E$1,FALSE)</f>
        <v>49.199999999999996</v>
      </c>
      <c r="G14" s="473" t="str">
        <f>VLOOKUP($C14,Assumptions!$C$220:$D$273,2,FALSE)</f>
        <v>t/camp</v>
      </c>
      <c r="H14" s="474">
        <f>HLOOKUP(C14,'Seismic and Infrastructure'!$L$74:$AO$107,'Seismic and Infrastructure'!$AQ$107,FALSE)</f>
        <v>0</v>
      </c>
      <c r="I14" s="474">
        <f>VLOOKUP(B14,CampsMain,Main!$H$756,FALSE)</f>
        <v>0</v>
      </c>
      <c r="J14" s="477" t="s">
        <v>609</v>
      </c>
      <c r="K14" s="476">
        <f t="shared" si="0"/>
        <v>0</v>
      </c>
    </row>
    <row r="15" spans="2:11">
      <c r="B15" s="468" t="str">
        <f>Main!D97</f>
        <v>#3.09</v>
      </c>
      <c r="C15" s="469" t="str">
        <f>VLOOKUP(B15,CampsMainInput,Main!$E$756,FALSE)</f>
        <v>Temporary camp - &gt; 150 and &lt;= 200 persons</v>
      </c>
      <c r="D15" s="470"/>
      <c r="E15" s="471"/>
      <c r="F15" s="474">
        <f>VLOOKUP($C15,conc_levy_sp_mass_defs,Assumptions!$E$1,FALSE)</f>
        <v>49.199999999999996</v>
      </c>
      <c r="G15" s="473" t="str">
        <f>VLOOKUP($C15,Assumptions!$C$220:$D$273,2,FALSE)</f>
        <v>t/camp</v>
      </c>
      <c r="H15" s="474">
        <f>HLOOKUP(C15,'Seismic and Infrastructure'!$L$74:$AO$107,'Seismic and Infrastructure'!$AQ$107,FALSE)</f>
        <v>0</v>
      </c>
      <c r="I15" s="474">
        <f>VLOOKUP(B15,CampsMain,Main!$H$756,FALSE)</f>
        <v>0</v>
      </c>
      <c r="J15" s="477" t="s">
        <v>609</v>
      </c>
      <c r="K15" s="476">
        <f t="shared" si="0"/>
        <v>0</v>
      </c>
    </row>
    <row r="16" spans="2:11">
      <c r="B16" s="468" t="str">
        <f>Main!D98</f>
        <v>#3.10</v>
      </c>
      <c r="C16" s="469" t="str">
        <f>VLOOKUP(B16,CampsMainInput,Main!$E$756,FALSE)</f>
        <v>Temporary camp - &gt; 200 and &lt;= 250 persons</v>
      </c>
      <c r="D16" s="470"/>
      <c r="E16" s="471"/>
      <c r="F16" s="474">
        <f>VLOOKUP($C16,conc_levy_sp_mass_defs,Assumptions!$E$1,FALSE)</f>
        <v>49.199999999999996</v>
      </c>
      <c r="G16" s="473" t="str">
        <f>VLOOKUP($C16,Assumptions!$C$220:$D$273,2,FALSE)</f>
        <v>t/camp</v>
      </c>
      <c r="H16" s="474">
        <f>HLOOKUP(C16,'Seismic and Infrastructure'!$L$74:$AO$107,'Seismic and Infrastructure'!$AQ$107,FALSE)</f>
        <v>0</v>
      </c>
      <c r="I16" s="474">
        <f>VLOOKUP(B16,CampsMain,Main!$H$756,FALSE)</f>
        <v>0</v>
      </c>
      <c r="J16" s="477" t="s">
        <v>609</v>
      </c>
      <c r="K16" s="476">
        <f t="shared" si="0"/>
        <v>0</v>
      </c>
    </row>
    <row r="17" spans="2:11">
      <c r="B17" s="468" t="str">
        <f>Main!D99</f>
        <v>#3.11</v>
      </c>
      <c r="C17" s="469" t="str">
        <f>VLOOKUP(B17,CampsMainInput,Main!$E$756,FALSE)</f>
        <v>Temporary camp - &gt; 250 and &lt;= 300 persons</v>
      </c>
      <c r="D17" s="470"/>
      <c r="E17" s="471"/>
      <c r="F17" s="474">
        <f>VLOOKUP($C17,conc_levy_sp_mass_defs,Assumptions!$E$1,FALSE)</f>
        <v>49.199999999999996</v>
      </c>
      <c r="G17" s="473" t="str">
        <f>VLOOKUP($C17,Assumptions!$C$220:$D$273,2,FALSE)</f>
        <v>t/camp</v>
      </c>
      <c r="H17" s="474">
        <f>HLOOKUP(C17,'Seismic and Infrastructure'!$L$74:$AO$107,'Seismic and Infrastructure'!$AQ$107,FALSE)</f>
        <v>0</v>
      </c>
      <c r="I17" s="474">
        <f>VLOOKUP(B17,CampsMain,Main!$H$756,FALSE)</f>
        <v>0</v>
      </c>
      <c r="J17" s="477" t="s">
        <v>609</v>
      </c>
      <c r="K17" s="476">
        <f t="shared" si="0"/>
        <v>0</v>
      </c>
    </row>
    <row r="18" spans="2:11">
      <c r="B18" s="468" t="str">
        <f>Main!D100</f>
        <v>#3.12</v>
      </c>
      <c r="C18" s="469" t="str">
        <f>VLOOKUP(B18,CampsMainInput,Main!$E$756,FALSE)</f>
        <v>Temporary camp - &gt; 300 and &lt;= 400 persons</v>
      </c>
      <c r="D18" s="470"/>
      <c r="E18" s="471"/>
      <c r="F18" s="474">
        <f>VLOOKUP($C18,conc_levy_sp_mass_defs,Assumptions!$E$1,FALSE)</f>
        <v>49.199999999999996</v>
      </c>
      <c r="G18" s="473" t="str">
        <f>VLOOKUP($C18,Assumptions!$C$220:$D$273,2,FALSE)</f>
        <v>t/camp</v>
      </c>
      <c r="H18" s="474">
        <f>HLOOKUP(C18,'Seismic and Infrastructure'!$L$74:$AO$107,'Seismic and Infrastructure'!$AQ$107,FALSE)</f>
        <v>0</v>
      </c>
      <c r="I18" s="474">
        <f>VLOOKUP(B18,CampsMain,Main!$H$756,FALSE)</f>
        <v>0</v>
      </c>
      <c r="J18" s="477" t="s">
        <v>609</v>
      </c>
      <c r="K18" s="476">
        <f t="shared" si="0"/>
        <v>0</v>
      </c>
    </row>
    <row r="19" spans="2:11">
      <c r="B19" s="468" t="str">
        <f>Main!D101</f>
        <v>#3.13</v>
      </c>
      <c r="C19" s="469" t="str">
        <f>VLOOKUP(B19,CampsMainInput,Main!$E$756,FALSE)</f>
        <v>Temporary camp - &gt; 400 and &lt;= 500 persons</v>
      </c>
      <c r="D19" s="470"/>
      <c r="E19" s="471"/>
      <c r="F19" s="474">
        <f>VLOOKUP($C19,conc_levy_sp_mass_defs,Assumptions!$E$1,FALSE)</f>
        <v>49.199999999999996</v>
      </c>
      <c r="G19" s="473" t="str">
        <f>VLOOKUP($C19,Assumptions!$C$220:$D$273,2,FALSE)</f>
        <v>t/camp</v>
      </c>
      <c r="H19" s="474">
        <f>HLOOKUP(C19,'Seismic and Infrastructure'!$L$74:$AO$107,'Seismic and Infrastructure'!$AQ$107,FALSE)</f>
        <v>0</v>
      </c>
      <c r="I19" s="474">
        <f>VLOOKUP(B19,CampsMain,Main!$H$756,FALSE)</f>
        <v>0</v>
      </c>
      <c r="J19" s="477" t="s">
        <v>609</v>
      </c>
      <c r="K19" s="476">
        <f t="shared" si="0"/>
        <v>0</v>
      </c>
    </row>
    <row r="20" spans="2:11">
      <c r="B20" s="468" t="str">
        <f>Main!D102</f>
        <v>#3.14</v>
      </c>
      <c r="C20" s="469" t="str">
        <f>VLOOKUP(B20,CampsMainInput,Main!$E$756,FALSE)</f>
        <v>Temporary camp - &gt; 500 and &lt;= 750 persons</v>
      </c>
      <c r="D20" s="470"/>
      <c r="E20" s="471"/>
      <c r="F20" s="474">
        <f>VLOOKUP($C20,conc_levy_sp_mass_defs,Assumptions!$E$1,FALSE)</f>
        <v>49.199999999999996</v>
      </c>
      <c r="G20" s="473" t="str">
        <f>VLOOKUP($C20,Assumptions!$C$220:$D$273,2,FALSE)</f>
        <v>t/camp</v>
      </c>
      <c r="H20" s="474">
        <f>HLOOKUP(C20,'Seismic and Infrastructure'!$L$74:$AO$107,'Seismic and Infrastructure'!$AQ$107,FALSE)</f>
        <v>0</v>
      </c>
      <c r="I20" s="474">
        <f>VLOOKUP(B20,CampsMain,Main!$H$756,FALSE)</f>
        <v>0</v>
      </c>
      <c r="J20" s="477" t="s">
        <v>609</v>
      </c>
      <c r="K20" s="476">
        <f t="shared" si="0"/>
        <v>0</v>
      </c>
    </row>
    <row r="21" spans="2:11">
      <c r="B21" s="468" t="str">
        <f>Main!D103</f>
        <v>#3.15</v>
      </c>
      <c r="C21" s="469" t="str">
        <f>VLOOKUP(B21,CampsMainInput,Main!$E$756,FALSE)</f>
        <v>Temporary camp - &gt; 750 and &lt;= 1000 persons</v>
      </c>
      <c r="D21" s="470"/>
      <c r="E21" s="471"/>
      <c r="F21" s="474">
        <f>VLOOKUP($C21,conc_levy_sp_mass_defs,Assumptions!$E$1,FALSE)</f>
        <v>49.199999999999996</v>
      </c>
      <c r="G21" s="473" t="str">
        <f>VLOOKUP($C21,Assumptions!$C$220:$D$273,2,FALSE)</f>
        <v>t/camp</v>
      </c>
      <c r="H21" s="474">
        <f>HLOOKUP(C21,'Seismic and Infrastructure'!$L$74:$AO$107,'Seismic and Infrastructure'!$AQ$107,FALSE)</f>
        <v>0</v>
      </c>
      <c r="I21" s="474">
        <f>VLOOKUP(B21,CampsMain,Main!$H$756,FALSE)</f>
        <v>0</v>
      </c>
      <c r="J21" s="477" t="s">
        <v>609</v>
      </c>
      <c r="K21" s="476">
        <f>(IF(H21="N/A",0,H21)+I21)*F21</f>
        <v>0</v>
      </c>
    </row>
    <row r="22" spans="2:11">
      <c r="B22" s="468" t="str">
        <f>Main!D104</f>
        <v>#3.16</v>
      </c>
      <c r="C22" s="469" t="str">
        <f>VLOOKUP(B22,CampsMainInput,Main!$E$756,FALSE)</f>
        <v>Temporary camp - &gt; 1000 and &lt;= 2000 persons</v>
      </c>
      <c r="D22" s="470"/>
      <c r="E22" s="471"/>
      <c r="F22" s="474">
        <f>VLOOKUP($C22,conc_levy_sp_mass_defs,Assumptions!$E$1,FALSE)</f>
        <v>49.199999999999996</v>
      </c>
      <c r="G22" s="473" t="str">
        <f>VLOOKUP($C22,Assumptions!$C$220:$D$273,2,FALSE)</f>
        <v>t/camp</v>
      </c>
      <c r="H22" s="474">
        <f>HLOOKUP(C22,'Seismic and Infrastructure'!$L$74:$AO$107,'Seismic and Infrastructure'!$AQ$107,FALSE)</f>
        <v>0</v>
      </c>
      <c r="I22" s="474">
        <f>VLOOKUP(B22,CampsMain,Main!$H$756,FALSE)</f>
        <v>0</v>
      </c>
      <c r="J22" s="477" t="s">
        <v>609</v>
      </c>
      <c r="K22" s="476">
        <f t="shared" si="0"/>
        <v>0</v>
      </c>
    </row>
    <row r="23" spans="2:11">
      <c r="B23" s="468" t="str">
        <f>Main!D105</f>
        <v>#3.17</v>
      </c>
      <c r="C23" s="469" t="str">
        <f>VLOOKUP(B23,CampsMainInput,Main!$E$756,FALSE)</f>
        <v>Temporary camp - &gt; 2000 and &lt;= 3000 persons</v>
      </c>
      <c r="D23" s="470"/>
      <c r="E23" s="471"/>
      <c r="F23" s="474">
        <f>VLOOKUP($C23,conc_levy_sp_mass_defs,Assumptions!$E$1,FALSE)</f>
        <v>49.199999999999996</v>
      </c>
      <c r="G23" s="473" t="str">
        <f>VLOOKUP($C23,Assumptions!$C$220:$D$273,2,FALSE)</f>
        <v>t/camp</v>
      </c>
      <c r="H23" s="474">
        <f>HLOOKUP(C23,'Seismic and Infrastructure'!$L$74:$AO$107,'Seismic and Infrastructure'!$AQ$107,FALSE)</f>
        <v>0</v>
      </c>
      <c r="I23" s="474">
        <f>VLOOKUP(B23,CampsMain,Main!$H$756,FALSE)</f>
        <v>0</v>
      </c>
      <c r="J23" s="477" t="s">
        <v>609</v>
      </c>
      <c r="K23" s="476">
        <f t="shared" si="0"/>
        <v>0</v>
      </c>
    </row>
    <row r="24" spans="2:11">
      <c r="B24" s="468" t="str">
        <f>Main!D106</f>
        <v>#3.18</v>
      </c>
      <c r="C24" s="469" t="str">
        <f>VLOOKUP(B24,CampsMainInput,Main!$E$756,FALSE)</f>
        <v>Temporary camp - &gt; 3000 and &lt;= 4000 persons</v>
      </c>
      <c r="D24" s="470"/>
      <c r="E24" s="471"/>
      <c r="F24" s="474">
        <f>VLOOKUP($C24,conc_levy_sp_mass_defs,Assumptions!$E$1,FALSE)</f>
        <v>49.199999999999996</v>
      </c>
      <c r="G24" s="473" t="str">
        <f>VLOOKUP($C24,Assumptions!$C$220:$D$273,2,FALSE)</f>
        <v>t/camp</v>
      </c>
      <c r="H24" s="474">
        <f>HLOOKUP(C24,'Seismic and Infrastructure'!$L$74:$AO$107,'Seismic and Infrastructure'!$AQ$107,FALSE)</f>
        <v>0</v>
      </c>
      <c r="I24" s="474">
        <f>VLOOKUP(B24,CampsMain,Main!$H$756,FALSE)</f>
        <v>0</v>
      </c>
      <c r="J24" s="477" t="s">
        <v>609</v>
      </c>
      <c r="K24" s="476">
        <f t="shared" si="0"/>
        <v>0</v>
      </c>
    </row>
    <row r="25" spans="2:11">
      <c r="B25" s="468" t="str">
        <f>Main!D107</f>
        <v>#3.19</v>
      </c>
      <c r="C25" s="469" t="str">
        <f>VLOOKUP(B25,CampsMainInput,Main!$E$756,FALSE)</f>
        <v>Temporary camp - &gt; 4000 and &lt;= 5000 persons</v>
      </c>
      <c r="D25" s="470"/>
      <c r="E25" s="471"/>
      <c r="F25" s="474">
        <f>VLOOKUP($C25,conc_levy_sp_mass_defs,Assumptions!$E$1,FALSE)</f>
        <v>49.199999999999996</v>
      </c>
      <c r="G25" s="473" t="str">
        <f>VLOOKUP($C25,Assumptions!$C$220:$D$273,2,FALSE)</f>
        <v>t/camp</v>
      </c>
      <c r="H25" s="474">
        <f>HLOOKUP(C25,'Seismic and Infrastructure'!$L$74:$AO$107,'Seismic and Infrastructure'!$AQ$107,FALSE)</f>
        <v>0</v>
      </c>
      <c r="I25" s="474">
        <f>VLOOKUP(B25,CampsMain,Main!$H$756,FALSE)</f>
        <v>0</v>
      </c>
      <c r="J25" s="477" t="s">
        <v>609</v>
      </c>
      <c r="K25" s="476">
        <f t="shared" si="0"/>
        <v>0</v>
      </c>
    </row>
    <row r="26" spans="2:11">
      <c r="B26" s="468" t="str">
        <f>Main!D108</f>
        <v>#3.20</v>
      </c>
      <c r="C26" s="469" t="str">
        <f>VLOOKUP(B26,CampsMainInput,Main!$E$756,FALSE)</f>
        <v>Permanent camp - &gt; 0 and &lt;= 20 persons</v>
      </c>
      <c r="D26" s="470"/>
      <c r="E26" s="471"/>
      <c r="F26" s="474">
        <f>VLOOKUP($C26,conc_levy_sp_mass_defs,Assumptions!$E$1,FALSE)</f>
        <v>0</v>
      </c>
      <c r="G26" s="473" t="str">
        <f>VLOOKUP($C26,Assumptions!$C$220:$D$273,2,FALSE)</f>
        <v>t/camp</v>
      </c>
      <c r="H26" s="474">
        <f>HLOOKUP(C26,'Seismic and Infrastructure'!$L$74:$AO$107,'Seismic and Infrastructure'!$AQ$107,FALSE)</f>
        <v>0</v>
      </c>
      <c r="I26" s="474">
        <f>VLOOKUP(B26,CampsMain,Main!$H$756,FALSE)</f>
        <v>0</v>
      </c>
      <c r="J26" s="477" t="s">
        <v>609</v>
      </c>
      <c r="K26" s="476">
        <f t="shared" si="0"/>
        <v>0</v>
      </c>
    </row>
    <row r="27" spans="2:11">
      <c r="B27" s="468" t="str">
        <f>Main!D109</f>
        <v>#3.21</v>
      </c>
      <c r="C27" s="469" t="str">
        <f>VLOOKUP(B27,CampsMainInput,Main!$E$756,FALSE)</f>
        <v>Permanent camp - &gt; 20 and &lt;= 50 persons</v>
      </c>
      <c r="D27" s="470"/>
      <c r="E27" s="471"/>
      <c r="F27" s="474">
        <f>VLOOKUP($C27,conc_levy_sp_mass_defs,Assumptions!$E$1,FALSE)</f>
        <v>193.92000000000002</v>
      </c>
      <c r="G27" s="473" t="str">
        <f>VLOOKUP($C27,Assumptions!$C$220:$D$273,2,FALSE)</f>
        <v>t/camp</v>
      </c>
      <c r="H27" s="474">
        <f>HLOOKUP(C27,'Seismic and Infrastructure'!$L$74:$AO$107,'Seismic and Infrastructure'!$AQ$107,FALSE)</f>
        <v>0</v>
      </c>
      <c r="I27" s="474">
        <f>VLOOKUP(B27,CampsMain,Main!$H$756,FALSE)</f>
        <v>0</v>
      </c>
      <c r="J27" s="477" t="s">
        <v>609</v>
      </c>
      <c r="K27" s="476">
        <f t="shared" si="0"/>
        <v>0</v>
      </c>
    </row>
    <row r="28" spans="2:11">
      <c r="B28" s="468" t="str">
        <f>Main!D110</f>
        <v>#3.22</v>
      </c>
      <c r="C28" s="469" t="str">
        <f>VLOOKUP(B28,CampsMainInput,Main!$E$756,FALSE)</f>
        <v>Permanent camp - &gt; 50 and &lt;= 100 persons</v>
      </c>
      <c r="D28" s="470"/>
      <c r="E28" s="471"/>
      <c r="F28" s="474">
        <f>VLOOKUP($C28,conc_levy_sp_mass_defs,Assumptions!$E$1,FALSE)</f>
        <v>389.03999999999996</v>
      </c>
      <c r="G28" s="473" t="str">
        <f>VLOOKUP($C28,Assumptions!$C$220:$D$273,2,FALSE)</f>
        <v>t/camp</v>
      </c>
      <c r="H28" s="474">
        <f>HLOOKUP(C28,'Seismic and Infrastructure'!$L$74:$AO$107,'Seismic and Infrastructure'!$AQ$107,FALSE)</f>
        <v>0</v>
      </c>
      <c r="I28" s="474">
        <f>VLOOKUP(B28,CampsMain,Main!$H$756,FALSE)</f>
        <v>0</v>
      </c>
      <c r="J28" s="477" t="s">
        <v>609</v>
      </c>
      <c r="K28" s="476">
        <f t="shared" si="0"/>
        <v>0</v>
      </c>
    </row>
    <row r="29" spans="2:11">
      <c r="B29" s="468" t="str">
        <f>Main!D111</f>
        <v>#3.23</v>
      </c>
      <c r="C29" s="469" t="str">
        <f>VLOOKUP(B29,CampsMainInput,Main!$E$756,FALSE)</f>
        <v>Permanent camp - &gt; 100 and &lt;= 150 persons</v>
      </c>
      <c r="D29" s="470"/>
      <c r="E29" s="471"/>
      <c r="F29" s="474">
        <f>VLOOKUP($C29,conc_levy_sp_mass_defs,Assumptions!$E$1,FALSE)</f>
        <v>578.4</v>
      </c>
      <c r="G29" s="473" t="str">
        <f>VLOOKUP($C29,Assumptions!$C$220:$D$273,2,FALSE)</f>
        <v>t/camp</v>
      </c>
      <c r="H29" s="474">
        <f>HLOOKUP(C29,'Seismic and Infrastructure'!$L$74:$AO$107,'Seismic and Infrastructure'!$AQ$107,FALSE)</f>
        <v>0</v>
      </c>
      <c r="I29" s="474">
        <f>VLOOKUP(B29,CampsMain,Main!$H$756,FALSE)</f>
        <v>0</v>
      </c>
      <c r="J29" s="477" t="s">
        <v>609</v>
      </c>
      <c r="K29" s="476">
        <f t="shared" si="0"/>
        <v>0</v>
      </c>
    </row>
    <row r="30" spans="2:11">
      <c r="B30" s="468" t="str">
        <f>Main!D112</f>
        <v>#3.24</v>
      </c>
      <c r="C30" s="469" t="str">
        <f>VLOOKUP(B30,CampsMainInput,Main!$E$756,FALSE)</f>
        <v>Permanent camp - &gt; 150 and &lt;= 200 persons</v>
      </c>
      <c r="D30" s="470"/>
      <c r="E30" s="471"/>
      <c r="F30" s="474">
        <f>VLOOKUP($C30,conc_levy_sp_mass_defs,Assumptions!$E$1,FALSE)</f>
        <v>821.52</v>
      </c>
      <c r="G30" s="473" t="str">
        <f>VLOOKUP($C30,Assumptions!$C$220:$D$273,2,FALSE)</f>
        <v>t/camp</v>
      </c>
      <c r="H30" s="474">
        <f>HLOOKUP(C30,'Seismic and Infrastructure'!$L$74:$AO$107,'Seismic and Infrastructure'!$AQ$107,FALSE)</f>
        <v>0</v>
      </c>
      <c r="I30" s="474">
        <f>VLOOKUP(B30,CampsMain,Main!$H$756,FALSE)</f>
        <v>0</v>
      </c>
      <c r="J30" s="477" t="s">
        <v>609</v>
      </c>
      <c r="K30" s="476">
        <f t="shared" si="0"/>
        <v>0</v>
      </c>
    </row>
    <row r="31" spans="2:11">
      <c r="B31" s="468" t="str">
        <f>Main!D113</f>
        <v>#3.25</v>
      </c>
      <c r="C31" s="469" t="str">
        <f>VLOOKUP(B31,CampsMainInput,Main!$E$756,FALSE)</f>
        <v>Permanent camp - &gt; 200 and &lt;= 250 persons</v>
      </c>
      <c r="D31" s="470"/>
      <c r="E31" s="471"/>
      <c r="F31" s="474">
        <f>VLOOKUP($C31,conc_levy_sp_mass_defs,Assumptions!$E$1,FALSE)</f>
        <v>1064.6400000000001</v>
      </c>
      <c r="G31" s="473" t="str">
        <f>VLOOKUP($C31,Assumptions!$C$220:$D$273,2,FALSE)</f>
        <v>t/camp</v>
      </c>
      <c r="H31" s="474">
        <f>HLOOKUP(C31,'Seismic and Infrastructure'!$L$74:$AO$107,'Seismic and Infrastructure'!$AQ$107,FALSE)</f>
        <v>0</v>
      </c>
      <c r="I31" s="474">
        <f>VLOOKUP(B31,CampsMain,Main!$H$756,FALSE)</f>
        <v>0</v>
      </c>
      <c r="J31" s="477" t="s">
        <v>609</v>
      </c>
      <c r="K31" s="476">
        <f t="shared" si="0"/>
        <v>0</v>
      </c>
    </row>
    <row r="32" spans="2:11">
      <c r="B32" s="468" t="str">
        <f>Main!D114</f>
        <v>#3.26</v>
      </c>
      <c r="C32" s="469" t="str">
        <f>VLOOKUP(B32,CampsMainInput,Main!$E$756,FALSE)</f>
        <v>Permanent camp - &gt; 250 and &lt;= 300 persons</v>
      </c>
      <c r="D32" s="470"/>
      <c r="E32" s="471"/>
      <c r="F32" s="474">
        <f>VLOOKUP($C32,conc_levy_sp_mass_defs,Assumptions!$E$1,FALSE)</f>
        <v>1156.8</v>
      </c>
      <c r="G32" s="473" t="str">
        <f>VLOOKUP($C32,Assumptions!$C$220:$D$273,2,FALSE)</f>
        <v>t/camp</v>
      </c>
      <c r="H32" s="474">
        <f>HLOOKUP(C32,'Seismic and Infrastructure'!$L$74:$AO$107,'Seismic and Infrastructure'!$AQ$107,FALSE)</f>
        <v>0</v>
      </c>
      <c r="I32" s="474">
        <f>VLOOKUP(B32,CampsMain,Main!$H$756,FALSE)</f>
        <v>0</v>
      </c>
      <c r="J32" s="477" t="s">
        <v>609</v>
      </c>
      <c r="K32" s="476">
        <f t="shared" si="0"/>
        <v>0</v>
      </c>
    </row>
    <row r="33" spans="2:11">
      <c r="B33" s="468" t="str">
        <f>Main!D115</f>
        <v>#3.27</v>
      </c>
      <c r="C33" s="469" t="str">
        <f>VLOOKUP(B33,CampsMainInput,Main!$E$756,FALSE)</f>
        <v>Permanent camp - &gt; 300 and &lt;= 400 persons</v>
      </c>
      <c r="D33" s="470"/>
      <c r="E33" s="471"/>
      <c r="F33" s="474">
        <f>VLOOKUP($C33,conc_levy_sp_mass_defs,Assumptions!$E$1,FALSE)</f>
        <v>1400.6399999999999</v>
      </c>
      <c r="G33" s="473" t="str">
        <f>VLOOKUP($C33,Assumptions!$C$220:$D$273,2,FALSE)</f>
        <v>t/camp</v>
      </c>
      <c r="H33" s="474">
        <f>HLOOKUP(C33,'Seismic and Infrastructure'!$L$74:$AO$107,'Seismic and Infrastructure'!$AQ$107,FALSE)</f>
        <v>0</v>
      </c>
      <c r="I33" s="474">
        <f>VLOOKUP(B33,CampsMain,Main!$H$756,FALSE)</f>
        <v>0</v>
      </c>
      <c r="J33" s="477" t="s">
        <v>609</v>
      </c>
      <c r="K33" s="476">
        <f t="shared" si="0"/>
        <v>0</v>
      </c>
    </row>
    <row r="34" spans="2:11">
      <c r="B34" s="468" t="str">
        <f>Main!D116</f>
        <v>#3.28</v>
      </c>
      <c r="C34" s="469" t="str">
        <f>VLOOKUP(B34,CampsMainInput,Main!$E$756,FALSE)</f>
        <v>Permanent camp - &gt; 400 and &lt;= 500 persons</v>
      </c>
      <c r="D34" s="470"/>
      <c r="E34" s="471"/>
      <c r="F34" s="474">
        <f>VLOOKUP($C34,conc_levy_sp_mass_defs,Assumptions!$E$1,FALSE)</f>
        <v>1686.72</v>
      </c>
      <c r="G34" s="473" t="str">
        <f>VLOOKUP($C34,Assumptions!$C$220:$D$273,2,FALSE)</f>
        <v>t/camp</v>
      </c>
      <c r="H34" s="474">
        <f>HLOOKUP(C34,'Seismic and Infrastructure'!$L$74:$AO$107,'Seismic and Infrastructure'!$AQ$107,FALSE)</f>
        <v>0</v>
      </c>
      <c r="I34" s="474">
        <f>VLOOKUP(B34,CampsMain,Main!$H$756,FALSE)</f>
        <v>0</v>
      </c>
      <c r="J34" s="477" t="s">
        <v>609</v>
      </c>
      <c r="K34" s="476">
        <f t="shared" si="0"/>
        <v>0</v>
      </c>
    </row>
    <row r="35" spans="2:11">
      <c r="B35" s="468" t="str">
        <f>Main!D117</f>
        <v>#3.29</v>
      </c>
      <c r="C35" s="469" t="str">
        <f>VLOOKUP(B35,CampsMainInput,Main!$E$756,FALSE)</f>
        <v>Permanent camp - &gt; 500 and &lt;= 750 persons</v>
      </c>
      <c r="D35" s="470"/>
      <c r="E35" s="471"/>
      <c r="F35" s="474">
        <f>VLOOKUP($C35,conc_levy_sp_mass_defs,Assumptions!$E$1,FALSE)</f>
        <v>712.8</v>
      </c>
      <c r="G35" s="473" t="str">
        <f>VLOOKUP($C35,Assumptions!$C$220:$D$273,2,FALSE)</f>
        <v>t/camp</v>
      </c>
      <c r="H35" s="474">
        <f>HLOOKUP(C35,'Seismic and Infrastructure'!$L$74:$AO$107,'Seismic and Infrastructure'!$AQ$107,FALSE)</f>
        <v>0</v>
      </c>
      <c r="I35" s="474">
        <f>VLOOKUP(B35,CampsMain,Main!$H$756,FALSE)</f>
        <v>0</v>
      </c>
      <c r="J35" s="477" t="s">
        <v>609</v>
      </c>
      <c r="K35" s="476">
        <f t="shared" si="0"/>
        <v>0</v>
      </c>
    </row>
    <row r="36" spans="2:11">
      <c r="B36" s="468" t="str">
        <f>Main!D118</f>
        <v>#3.30</v>
      </c>
      <c r="C36" s="469" t="str">
        <f>VLOOKUP(B36,CampsMainInput,Main!$E$756,FALSE)</f>
        <v>Permanent camp - &gt; 750 and &lt;= 1000 persons</v>
      </c>
      <c r="D36" s="470"/>
      <c r="E36" s="471"/>
      <c r="F36" s="474">
        <f>VLOOKUP($C36,conc_levy_sp_mass_defs,Assumptions!$E$1,FALSE)</f>
        <v>869.76</v>
      </c>
      <c r="G36" s="473" t="str">
        <f>VLOOKUP($C36,Assumptions!$C$220:$D$273,2,FALSE)</f>
        <v>t/camp</v>
      </c>
      <c r="H36" s="474">
        <f>HLOOKUP(C36,'Seismic and Infrastructure'!$L$74:$AO$107,'Seismic and Infrastructure'!$AQ$107,FALSE)</f>
        <v>0</v>
      </c>
      <c r="I36" s="474">
        <f>VLOOKUP(B36,CampsMain,Main!$H$756,FALSE)</f>
        <v>0</v>
      </c>
      <c r="J36" s="477" t="s">
        <v>609</v>
      </c>
      <c r="K36" s="476">
        <f t="shared" si="0"/>
        <v>0</v>
      </c>
    </row>
    <row r="37" spans="2:11">
      <c r="B37" s="468" t="str">
        <f>Main!D119</f>
        <v>#3.31</v>
      </c>
      <c r="C37" s="469" t="str">
        <f>VLOOKUP(B37,CampsMainInput,Main!$E$756,FALSE)</f>
        <v>Permanent camp - &gt; 1000 and &lt;= 2000 persons</v>
      </c>
      <c r="D37" s="470"/>
      <c r="E37" s="471"/>
      <c r="F37" s="474">
        <f>VLOOKUP($C37,conc_levy_sp_mass_defs,Assumptions!$E$1,FALSE)</f>
        <v>1493.28</v>
      </c>
      <c r="G37" s="473" t="str">
        <f>VLOOKUP($C37,Assumptions!$C$220:$D$273,2,FALSE)</f>
        <v>t/camp</v>
      </c>
      <c r="H37" s="474">
        <f>HLOOKUP(C37,'Seismic and Infrastructure'!$L$74:$AO$107,'Seismic and Infrastructure'!$AQ$107,FALSE)</f>
        <v>0</v>
      </c>
      <c r="I37" s="474">
        <f>VLOOKUP(B37,CampsMain,Main!$H$756,FALSE)</f>
        <v>0</v>
      </c>
      <c r="J37" s="477" t="s">
        <v>609</v>
      </c>
      <c r="K37" s="476">
        <f t="shared" si="0"/>
        <v>0</v>
      </c>
    </row>
    <row r="38" spans="2:11">
      <c r="B38" s="468" t="str">
        <f>Main!D120</f>
        <v>#3.32</v>
      </c>
      <c r="C38" s="469" t="str">
        <f>VLOOKUP(B38,CampsMainInput,Main!$E$756,FALSE)</f>
        <v>Permanent camp - &gt; 2000 and &lt;= 3000 persons</v>
      </c>
      <c r="D38" s="470"/>
      <c r="E38" s="471"/>
      <c r="F38" s="474">
        <f>VLOOKUP($C38,conc_levy_sp_mass_defs,Assumptions!$E$1,FALSE)</f>
        <v>2227.1999999999998</v>
      </c>
      <c r="G38" s="473" t="str">
        <f>VLOOKUP($C38,Assumptions!$C$220:$D$273,2,FALSE)</f>
        <v>t/camp</v>
      </c>
      <c r="H38" s="474">
        <f>HLOOKUP(C38,'Seismic and Infrastructure'!$L$74:$AO$107,'Seismic and Infrastructure'!$AQ$107,FALSE)</f>
        <v>0</v>
      </c>
      <c r="I38" s="474">
        <f>VLOOKUP(B38,CampsMain,Main!$H$756,FALSE)</f>
        <v>0</v>
      </c>
      <c r="J38" s="477" t="s">
        <v>609</v>
      </c>
      <c r="K38" s="476">
        <f t="shared" si="0"/>
        <v>0</v>
      </c>
    </row>
    <row r="39" spans="2:11">
      <c r="B39" s="468" t="str">
        <f>Main!D121</f>
        <v>#3.33</v>
      </c>
      <c r="C39" s="469" t="str">
        <f>VLOOKUP(B39,CampsMainInput,Main!$E$756,FALSE)</f>
        <v>Permanent camp - &gt; 3000 and &lt;= 4000 persons</v>
      </c>
      <c r="D39" s="470"/>
      <c r="E39" s="471"/>
      <c r="F39" s="474">
        <f>VLOOKUP($C39,conc_levy_sp_mass_defs,Assumptions!$E$1,FALSE)</f>
        <v>2852.16</v>
      </c>
      <c r="G39" s="473" t="str">
        <f>VLOOKUP($C39,Assumptions!$C$220:$D$273,2,FALSE)</f>
        <v>t/camp</v>
      </c>
      <c r="H39" s="474">
        <f>HLOOKUP(C39,'Seismic and Infrastructure'!$L$74:$AO$107,'Seismic and Infrastructure'!$AQ$107,FALSE)</f>
        <v>0</v>
      </c>
      <c r="I39" s="474">
        <f>VLOOKUP(B39,CampsMain,Main!$H$756,FALSE)</f>
        <v>0</v>
      </c>
      <c r="J39" s="477" t="s">
        <v>609</v>
      </c>
      <c r="K39" s="476">
        <f t="shared" si="0"/>
        <v>0</v>
      </c>
    </row>
    <row r="40" spans="2:11">
      <c r="B40" s="468" t="str">
        <f>Main!D122</f>
        <v>#3.34</v>
      </c>
      <c r="C40" s="469" t="str">
        <f>VLOOKUP(B40,CampsMainInput,Main!$E$756,FALSE)</f>
        <v>Permanent camp - &gt; 4000 and &lt;= 5000 persons</v>
      </c>
      <c r="D40" s="470"/>
      <c r="E40" s="471"/>
      <c r="F40" s="474">
        <f>VLOOKUP($C40,conc_levy_sp_mass_defs,Assumptions!$E$1,FALSE)</f>
        <v>3475.68</v>
      </c>
      <c r="G40" s="473" t="str">
        <f>VLOOKUP($C40,Assumptions!$C$220:$D$273,2,FALSE)</f>
        <v>t/camp</v>
      </c>
      <c r="H40" s="474">
        <f>HLOOKUP(C40,'Seismic and Infrastructure'!$L$74:$AO$107,'Seismic and Infrastructure'!$AQ$107,FALSE)</f>
        <v>0</v>
      </c>
      <c r="I40" s="474">
        <f>VLOOKUP(B40,CampsMain,Main!$H$756,FALSE)</f>
        <v>0</v>
      </c>
      <c r="J40" s="477" t="s">
        <v>609</v>
      </c>
      <c r="K40" s="476">
        <f t="shared" si="0"/>
        <v>0</v>
      </c>
    </row>
    <row r="41" spans="2:11">
      <c r="B41" s="468" t="str">
        <f>Main!D123</f>
        <v>#3.35</v>
      </c>
      <c r="C41" s="469" t="str">
        <f>VLOOKUP(B41,BuildingsMain,Main!$E$756,FALSE)</f>
        <v>Small, Brick wall, Steel roof, Concrete floor, 1 floors</v>
      </c>
      <c r="D41" s="470"/>
      <c r="E41" s="471"/>
      <c r="F41" s="478">
        <f>VLOOKUP($C41,conc_levy_sp_mass_defs,Assumptions!$E$1,FALSE)</f>
        <v>0.96479999999999999</v>
      </c>
      <c r="G41" s="475" t="s">
        <v>1715</v>
      </c>
      <c r="H41" s="479" t="s">
        <v>8</v>
      </c>
      <c r="I41" s="474">
        <f>VLOOKUP(B41,Main!$D$123:$L$128,Main!$H$756,FALSE)</f>
        <v>0</v>
      </c>
      <c r="J41" s="475" t="s">
        <v>88</v>
      </c>
      <c r="K41" s="476">
        <f t="shared" si="0"/>
        <v>0</v>
      </c>
    </row>
    <row r="42" spans="2:11">
      <c r="B42" s="468" t="str">
        <f>Main!D124</f>
        <v>#3.36</v>
      </c>
      <c r="C42" s="469" t="str">
        <f>VLOOKUP(B42,BuildingsMain,Main!$E$756,FALSE)</f>
        <v>Large, Brick wall, Steel roof, Concrete floor, 1 floors</v>
      </c>
      <c r="D42" s="470"/>
      <c r="E42" s="471"/>
      <c r="F42" s="478">
        <f>VLOOKUP($C42,conc_levy_sp_mass_defs,Assumptions!$E$1,FALSE)</f>
        <v>0.48096</v>
      </c>
      <c r="G42" s="475" t="s">
        <v>1715</v>
      </c>
      <c r="H42" s="479" t="s">
        <v>8</v>
      </c>
      <c r="I42" s="474">
        <f>VLOOKUP(B42,Main!$D$123:$L$128,Main!$H$756,FALSE)</f>
        <v>0</v>
      </c>
      <c r="J42" s="475" t="s">
        <v>88</v>
      </c>
      <c r="K42" s="476">
        <f t="shared" si="0"/>
        <v>0</v>
      </c>
    </row>
    <row r="43" spans="2:11">
      <c r="B43" s="468" t="str">
        <f>Main!D125</f>
        <v>#3.37</v>
      </c>
      <c r="C43" s="469" t="str">
        <f>VLOOKUP(B43,BuildingsMain,Main!$E$756,FALSE)</f>
        <v>Large, Steel wall, Steel roof, Concrete floor, 1 floors</v>
      </c>
      <c r="D43" s="470"/>
      <c r="E43" s="471"/>
      <c r="F43" s="478">
        <f>VLOOKUP($C43,conc_levy_sp_mass_defs,Assumptions!$E$1,FALSE)</f>
        <v>0.36</v>
      </c>
      <c r="G43" s="475" t="s">
        <v>1715</v>
      </c>
      <c r="H43" s="479" t="s">
        <v>8</v>
      </c>
      <c r="I43" s="474">
        <f>VLOOKUP(B43,Main!$D$123:$L$128,Main!$H$756,FALSE)</f>
        <v>0</v>
      </c>
      <c r="J43" s="475" t="s">
        <v>88</v>
      </c>
      <c r="K43" s="476">
        <f t="shared" si="0"/>
        <v>0</v>
      </c>
    </row>
    <row r="44" spans="2:11">
      <c r="B44" s="468" t="str">
        <f>Main!D126</f>
        <v>#3.38</v>
      </c>
      <c r="C44" s="469" t="str">
        <f>VLOOKUP(B44,BuildingsMain,Main!$E$756,FALSE)</f>
        <v>Small, Steel wall, Steel roof, Concrete floor, 1 floors</v>
      </c>
      <c r="D44" s="470"/>
      <c r="E44" s="471"/>
      <c r="F44" s="478">
        <f>VLOOKUP($C44,conc_levy_sp_mass_defs,Assumptions!$E$1,FALSE)</f>
        <v>0.36</v>
      </c>
      <c r="G44" s="475" t="s">
        <v>1715</v>
      </c>
      <c r="H44" s="479" t="s">
        <v>8</v>
      </c>
      <c r="I44" s="474">
        <f>VLOOKUP(B44,Main!$D$123:$L$128,Main!$H$756,FALSE)</f>
        <v>0</v>
      </c>
      <c r="J44" s="475" t="s">
        <v>88</v>
      </c>
      <c r="K44" s="476">
        <f t="shared" si="0"/>
        <v>0</v>
      </c>
    </row>
    <row r="45" spans="2:11">
      <c r="B45" s="468" t="str">
        <f>Main!D127</f>
        <v>#3.39</v>
      </c>
      <c r="C45" s="469" t="str">
        <f>VLOOKUP(B45,BuildingsMain,Main!$E$756,FALSE)</f>
        <v>Small, Steel wall, Steel roof, Concrete floor, 2 floors</v>
      </c>
      <c r="D45" s="470"/>
      <c r="E45" s="471"/>
      <c r="F45" s="478">
        <f>VLOOKUP($C45,conc_levy_sp_mass_defs,Assumptions!$E$1,FALSE)</f>
        <v>0.72</v>
      </c>
      <c r="G45" s="475" t="s">
        <v>1715</v>
      </c>
      <c r="H45" s="479" t="s">
        <v>8</v>
      </c>
      <c r="I45" s="474">
        <f>VLOOKUP(B45,Main!$D$123:$L$128,Main!$H$756,FALSE)</f>
        <v>0</v>
      </c>
      <c r="J45" s="475" t="s">
        <v>88</v>
      </c>
      <c r="K45" s="476">
        <f t="shared" si="0"/>
        <v>0</v>
      </c>
    </row>
    <row r="46" spans="2:11">
      <c r="B46" s="468" t="str">
        <f>Main!D135</f>
        <v>#4.01</v>
      </c>
      <c r="C46" s="469" t="str">
        <f>VLOOKUP(B46,PowerMain,Main!$E$756,FALSE)</f>
        <v>Overhead powerlines (steel towers)</v>
      </c>
      <c r="D46" s="470"/>
      <c r="E46" s="471"/>
      <c r="F46" s="474">
        <f>VLOOKUP($C46,conc_levy_sp_mass_defs,Assumptions!$E$1,FALSE)</f>
        <v>7.5398223686155035</v>
      </c>
      <c r="G46" s="480" t="s">
        <v>1716</v>
      </c>
      <c r="H46" s="479" t="s">
        <v>8</v>
      </c>
      <c r="I46" s="474">
        <f>VLOOKUP(B46,PowerMain,Main!$H$756,FALSE)</f>
        <v>0</v>
      </c>
      <c r="J46" s="475" t="s">
        <v>82</v>
      </c>
      <c r="K46" s="476">
        <f t="shared" si="0"/>
        <v>0</v>
      </c>
    </row>
    <row r="47" spans="2:11">
      <c r="B47" s="468" t="str">
        <f>Main!D137</f>
        <v>#4.03</v>
      </c>
      <c r="C47" s="469" t="str">
        <f>VLOOKUP(B47,PowerMain,Main!$E$756,FALSE)</f>
        <v>Overhead powerlines (concrete poles)</v>
      </c>
      <c r="D47" s="470"/>
      <c r="E47" s="471"/>
      <c r="F47" s="474">
        <f>VLOOKUP($C47,conc_levy_sp_mass_defs,Assumptions!$E$1,FALSE)</f>
        <v>16.792576494636776</v>
      </c>
      <c r="G47" s="480" t="s">
        <v>1716</v>
      </c>
      <c r="H47" s="479" t="s">
        <v>8</v>
      </c>
      <c r="I47" s="474">
        <f>VLOOKUP(B47,PowerMain,Main!$H$756,FALSE)</f>
        <v>0</v>
      </c>
      <c r="J47" s="475" t="s">
        <v>82</v>
      </c>
      <c r="K47" s="476">
        <f t="shared" si="0"/>
        <v>0</v>
      </c>
    </row>
    <row r="48" spans="2:11">
      <c r="B48" s="468" t="str">
        <f>Main!D364</f>
        <v>#7.03</v>
      </c>
      <c r="C48" s="469" t="str">
        <f>VLOOKUP(B48,GasProcessMainfromInput,Main!$E$756,FALSE)</f>
        <v>Gas Processing Plant &gt; 0 and &lt;= 15 TJ/day</v>
      </c>
      <c r="D48" s="470"/>
      <c r="E48" s="471"/>
      <c r="F48" s="474">
        <f>VLOOKUP($C48,conc_levy_sp_mass_defs,Assumptions!$E$1,FALSE)</f>
        <v>201.6</v>
      </c>
      <c r="G48" s="477" t="s">
        <v>1717</v>
      </c>
      <c r="H48" s="474">
        <f>HLOOKUP(C48,'Process Facilities'!$K$6:$U$29,'Process Facilities'!$V$29,FALSE)</f>
        <v>0</v>
      </c>
      <c r="I48" s="474">
        <f>VLOOKUP(B48,GasProcessMain,Main!$H$756,FALSE)</f>
        <v>0</v>
      </c>
      <c r="J48" s="477" t="s">
        <v>1718</v>
      </c>
      <c r="K48" s="476">
        <f t="shared" si="0"/>
        <v>0</v>
      </c>
    </row>
    <row r="49" spans="2:11">
      <c r="B49" s="468" t="str">
        <f>Main!D365</f>
        <v>#7.04</v>
      </c>
      <c r="C49" s="469" t="str">
        <f>VLOOKUP(B49,GasProcessMainfromInput,Main!$E$756,FALSE)</f>
        <v>Gas Processing Plant &gt; 15 and &lt;= 25 TJ/day</v>
      </c>
      <c r="D49" s="470"/>
      <c r="E49" s="471"/>
      <c r="F49" s="474">
        <f>VLOOKUP($C49,conc_levy_sp_mass_defs,Assumptions!$E$1,FALSE)</f>
        <v>403.2</v>
      </c>
      <c r="G49" s="477" t="s">
        <v>1717</v>
      </c>
      <c r="H49" s="474">
        <f>HLOOKUP(C49,'Process Facilities'!$K$6:$U$29,'Process Facilities'!$V$29,FALSE)</f>
        <v>0</v>
      </c>
      <c r="I49" s="474">
        <f>VLOOKUP(B49,GasProcessMain,Main!$H$756,FALSE)</f>
        <v>0</v>
      </c>
      <c r="J49" s="477" t="s">
        <v>1718</v>
      </c>
      <c r="K49" s="476">
        <f t="shared" si="0"/>
        <v>0</v>
      </c>
    </row>
    <row r="50" spans="2:11">
      <c r="B50" s="468" t="str">
        <f>Main!D366</f>
        <v>#7.05</v>
      </c>
      <c r="C50" s="469" t="str">
        <f>VLOOKUP(B50,GasProcessMainfromInput,Main!$E$756,FALSE)</f>
        <v>Gas Processing Plant &gt; 25 and &lt;= 50 TJ/day</v>
      </c>
      <c r="D50" s="470"/>
      <c r="E50" s="471"/>
      <c r="F50" s="474">
        <f>VLOOKUP($C50,conc_levy_sp_mass_defs,Assumptions!$E$1,FALSE)</f>
        <v>604.79999999999995</v>
      </c>
      <c r="G50" s="477" t="s">
        <v>1717</v>
      </c>
      <c r="H50" s="474">
        <f>HLOOKUP(C50,'Process Facilities'!$K$6:$U$29,'Process Facilities'!$V$29,FALSE)</f>
        <v>0</v>
      </c>
      <c r="I50" s="474">
        <f>VLOOKUP(B50,GasProcessMain,Main!$H$756,FALSE)</f>
        <v>0</v>
      </c>
      <c r="J50" s="477" t="s">
        <v>1718</v>
      </c>
      <c r="K50" s="476">
        <f t="shared" si="0"/>
        <v>0</v>
      </c>
    </row>
    <row r="51" spans="2:11">
      <c r="B51" s="468" t="str">
        <f>Main!D367</f>
        <v>#7.06</v>
      </c>
      <c r="C51" s="469" t="str">
        <f>VLOOKUP(B51,GasProcessMainfromInput,Main!$E$756,FALSE)</f>
        <v>Gas Processing Plant &gt; 50 and &lt;= 100 TJ/day</v>
      </c>
      <c r="D51" s="470"/>
      <c r="E51" s="471"/>
      <c r="F51" s="474">
        <f>VLOOKUP($C51,conc_levy_sp_mass_defs,Assumptions!$E$1,FALSE)</f>
        <v>1108.8</v>
      </c>
      <c r="G51" s="477" t="s">
        <v>1717</v>
      </c>
      <c r="H51" s="474">
        <f>HLOOKUP(C51,'Process Facilities'!$K$6:$U$29,'Process Facilities'!$V$29,FALSE)</f>
        <v>0</v>
      </c>
      <c r="I51" s="474">
        <f>VLOOKUP(B51,GasProcessMain,Main!$H$756,FALSE)</f>
        <v>0</v>
      </c>
      <c r="J51" s="477" t="s">
        <v>1718</v>
      </c>
      <c r="K51" s="476">
        <f t="shared" si="0"/>
        <v>0</v>
      </c>
    </row>
    <row r="52" spans="2:11">
      <c r="B52" s="468" t="str">
        <f>Main!D368</f>
        <v>#7.07</v>
      </c>
      <c r="C52" s="469" t="str">
        <f>VLOOKUP(B52,GasProcessMainfromInput,Main!$E$756,FALSE)</f>
        <v>Gas Processing Plant &gt; 100 and &lt;= 200 TJ/day</v>
      </c>
      <c r="D52" s="470"/>
      <c r="E52" s="471"/>
      <c r="F52" s="474">
        <f>VLOOKUP($C52,conc_levy_sp_mass_defs,Assumptions!$E$1,FALSE)</f>
        <v>1713.6</v>
      </c>
      <c r="G52" s="477" t="s">
        <v>1717</v>
      </c>
      <c r="H52" s="474">
        <f>HLOOKUP(C52,'Process Facilities'!$K$6:$U$29,'Process Facilities'!$V$29,FALSE)</f>
        <v>0</v>
      </c>
      <c r="I52" s="474">
        <f>VLOOKUP(B52,GasProcessMain,Main!$H$756,FALSE)</f>
        <v>0</v>
      </c>
      <c r="J52" s="477" t="s">
        <v>1718</v>
      </c>
      <c r="K52" s="476">
        <f t="shared" si="0"/>
        <v>0</v>
      </c>
    </row>
    <row r="53" spans="2:11">
      <c r="B53" s="468" t="str">
        <f>Main!D369</f>
        <v>#7.08</v>
      </c>
      <c r="C53" s="469" t="str">
        <f>VLOOKUP(B53,GasProcessMainfromInput,Main!$E$756,FALSE)</f>
        <v>Gas Processing Plant &gt; 200 and &lt;= 300 TJ/day</v>
      </c>
      <c r="D53" s="470"/>
      <c r="E53" s="471"/>
      <c r="F53" s="474">
        <f>VLOOKUP($C53,conc_levy_sp_mass_defs,Assumptions!$E$1,FALSE)</f>
        <v>2016</v>
      </c>
      <c r="G53" s="477" t="s">
        <v>1717</v>
      </c>
      <c r="H53" s="474">
        <f>HLOOKUP(C53,'Process Facilities'!$K$6:$U$29,'Process Facilities'!$V$29,FALSE)</f>
        <v>0</v>
      </c>
      <c r="I53" s="474">
        <f>VLOOKUP(B53,GasProcessMain,Main!$H$756,FALSE)</f>
        <v>0</v>
      </c>
      <c r="J53" s="477" t="s">
        <v>1718</v>
      </c>
      <c r="K53" s="476">
        <f t="shared" si="0"/>
        <v>0</v>
      </c>
    </row>
    <row r="54" spans="2:11">
      <c r="B54" s="468" t="str">
        <f>Main!D370</f>
        <v>#7.09</v>
      </c>
      <c r="C54" s="469" t="str">
        <f>VLOOKUP(B54,GasProcessMainfromInput,Main!$E$756,FALSE)</f>
        <v>Gas Processing Plant &gt; 300 and &lt;= 400 TJ/day</v>
      </c>
      <c r="D54" s="470"/>
      <c r="E54" s="471"/>
      <c r="F54" s="474">
        <f>VLOOKUP($C54,conc_levy_sp_mass_defs,Assumptions!$E$1,FALSE)</f>
        <v>2116.7999999999997</v>
      </c>
      <c r="G54" s="477" t="s">
        <v>1717</v>
      </c>
      <c r="H54" s="474">
        <f>HLOOKUP(C54,'Process Facilities'!$K$6:$U$29,'Process Facilities'!$V$29,FALSE)</f>
        <v>0</v>
      </c>
      <c r="I54" s="474">
        <f>VLOOKUP(B54,GasProcessMain,Main!$H$756,FALSE)</f>
        <v>0</v>
      </c>
      <c r="J54" s="477" t="s">
        <v>1718</v>
      </c>
      <c r="K54" s="476">
        <f t="shared" si="0"/>
        <v>0</v>
      </c>
    </row>
    <row r="55" spans="2:11">
      <c r="B55" s="468" t="str">
        <f>Main!D371</f>
        <v>#7.10</v>
      </c>
      <c r="C55" s="469" t="str">
        <f>VLOOKUP(B55,GasProcessMainfromInput,Main!$E$756,FALSE)</f>
        <v>Gas Processing Plant &gt; 400 and &lt;= 500 TJ/day</v>
      </c>
      <c r="D55" s="470"/>
      <c r="E55" s="471"/>
      <c r="F55" s="474">
        <f>VLOOKUP($C55,conc_levy_sp_mass_defs,Assumptions!$E$1,FALSE)</f>
        <v>2217.6</v>
      </c>
      <c r="G55" s="477" t="s">
        <v>1717</v>
      </c>
      <c r="H55" s="474">
        <f>HLOOKUP(C55,'Process Facilities'!$K$6:$U$29,'Process Facilities'!$V$29,FALSE)</f>
        <v>0</v>
      </c>
      <c r="I55" s="474">
        <f>VLOOKUP(B55,GasProcessMain,Main!$H$756,FALSE)</f>
        <v>0</v>
      </c>
      <c r="J55" s="477" t="s">
        <v>1718</v>
      </c>
      <c r="K55" s="476">
        <f t="shared" si="0"/>
        <v>0</v>
      </c>
    </row>
    <row r="56" spans="2:11">
      <c r="B56" s="468" t="str">
        <f>Main!D372</f>
        <v>#7.11</v>
      </c>
      <c r="C56" s="469" t="str">
        <f>VLOOKUP(B56,GasProcessMainfromInput,Main!$E$756,FALSE)</f>
        <v>Gas Processing Plant &gt; 500 and &lt;= 750 TJ/day</v>
      </c>
      <c r="D56" s="470"/>
      <c r="E56" s="471"/>
      <c r="F56" s="474">
        <f>VLOOKUP($C56,conc_levy_sp_mass_defs,Assumptions!$E$1,FALSE)</f>
        <v>2268</v>
      </c>
      <c r="G56" s="477" t="s">
        <v>1717</v>
      </c>
      <c r="H56" s="474">
        <f>HLOOKUP(C56,'Process Facilities'!$K$6:$U$29,'Process Facilities'!$V$29,FALSE)</f>
        <v>0</v>
      </c>
      <c r="I56" s="474">
        <f>VLOOKUP(B56,GasProcessMain,Main!$H$756,FALSE)</f>
        <v>0</v>
      </c>
      <c r="J56" s="477" t="s">
        <v>1718</v>
      </c>
      <c r="K56" s="476">
        <f t="shared" si="0"/>
        <v>0</v>
      </c>
    </row>
    <row r="57" spans="2:11">
      <c r="B57" s="468" t="str">
        <f>Main!D373</f>
        <v>#7.12</v>
      </c>
      <c r="C57" s="469" t="str">
        <f>VLOOKUP(B57,GasProcessMainfromInput,Main!$E$756,FALSE)</f>
        <v>Gas Processing Plant &gt; 750 and &lt;= 1000 TJ/day</v>
      </c>
      <c r="D57" s="470"/>
      <c r="E57" s="471"/>
      <c r="F57" s="474">
        <f>VLOOKUP($C57,conc_levy_sp_mass_defs,Assumptions!$E$1,FALSE)</f>
        <v>2318.4</v>
      </c>
      <c r="G57" s="477" t="s">
        <v>1717</v>
      </c>
      <c r="H57" s="474">
        <f>HLOOKUP(C57,'Process Facilities'!$K$6:$U$29,'Process Facilities'!$V$29,FALSE)</f>
        <v>0</v>
      </c>
      <c r="I57" s="474">
        <f>VLOOKUP(B57,GasProcessMain,Main!$H$756,FALSE)</f>
        <v>0</v>
      </c>
      <c r="J57" s="477" t="s">
        <v>1718</v>
      </c>
      <c r="K57" s="476">
        <f t="shared" si="0"/>
        <v>0</v>
      </c>
    </row>
    <row r="58" spans="2:11">
      <c r="B58" s="468" t="str">
        <f>Main!D377</f>
        <v>#7.14</v>
      </c>
      <c r="C58" s="469" t="str">
        <f>VLOOKUP(B58,GasProcessMainfromInput,Main!$E$756,FALSE)</f>
        <v>Conventional Gas &gt; 0 and &lt;= 1 TJ/day</v>
      </c>
      <c r="D58" s="470"/>
      <c r="E58" s="471"/>
      <c r="F58" s="474">
        <f>VLOOKUP($C58,conc_levy_sp_mass_defs,Assumptions!$E$1,FALSE)</f>
        <v>25.2</v>
      </c>
      <c r="G58" s="477" t="s">
        <v>1717</v>
      </c>
      <c r="H58" s="474">
        <f>HLOOKUP(C58,'Process Facilities'!$K$35:$R$61,'Process Facilities'!$S$58,FALSE)</f>
        <v>0</v>
      </c>
      <c r="I58" s="474">
        <f>VLOOKUP(B58,ConvGasMain,Main!$H$756,FALSE)</f>
        <v>0</v>
      </c>
      <c r="J58" s="477" t="s">
        <v>1718</v>
      </c>
      <c r="K58" s="476">
        <f t="shared" si="0"/>
        <v>0</v>
      </c>
    </row>
    <row r="59" spans="2:11">
      <c r="B59" s="468" t="str">
        <f>Main!D378</f>
        <v>#7.15</v>
      </c>
      <c r="C59" s="469" t="str">
        <f>VLOOKUP(B59,GasProcessMainfromInput,Main!$E$756,FALSE)</f>
        <v>Conventional Gas &gt; 1 and &lt;= 2 TJ/day</v>
      </c>
      <c r="D59" s="470"/>
      <c r="E59" s="471"/>
      <c r="F59" s="474">
        <f>VLOOKUP($C59,conc_levy_sp_mass_defs,Assumptions!$E$1,FALSE)</f>
        <v>50.4</v>
      </c>
      <c r="G59" s="477" t="s">
        <v>1717</v>
      </c>
      <c r="H59" s="474">
        <f>HLOOKUP(C59,'Process Facilities'!$K$35:$R$61,'Process Facilities'!$S$58,FALSE)</f>
        <v>0</v>
      </c>
      <c r="I59" s="474">
        <f>VLOOKUP(B59,ConvGasMain,Main!$H$756,FALSE)</f>
        <v>0</v>
      </c>
      <c r="J59" s="477" t="s">
        <v>1718</v>
      </c>
      <c r="K59" s="476">
        <f t="shared" si="0"/>
        <v>0</v>
      </c>
    </row>
    <row r="60" spans="2:11">
      <c r="B60" s="468" t="str">
        <f>Main!D379</f>
        <v>#7.16</v>
      </c>
      <c r="C60" s="469" t="str">
        <f>VLOOKUP(B60,GasProcessMainfromInput,Main!$E$756,FALSE)</f>
        <v>Conventional Gas &gt; 2 and &lt;= 5 TJ/day</v>
      </c>
      <c r="D60" s="470"/>
      <c r="E60" s="471"/>
      <c r="F60" s="474">
        <f>VLOOKUP($C60,conc_levy_sp_mass_defs,Assumptions!$E$1,FALSE)</f>
        <v>50.4</v>
      </c>
      <c r="G60" s="477" t="s">
        <v>1717</v>
      </c>
      <c r="H60" s="474">
        <f>HLOOKUP(C60,'Process Facilities'!$K$35:$R$61,'Process Facilities'!$S$58,FALSE)</f>
        <v>0</v>
      </c>
      <c r="I60" s="474">
        <f>VLOOKUP(B60,ConvGasMain,Main!$H$756,FALSE)</f>
        <v>0</v>
      </c>
      <c r="J60" s="477" t="s">
        <v>1718</v>
      </c>
      <c r="K60" s="476">
        <f t="shared" si="0"/>
        <v>0</v>
      </c>
    </row>
    <row r="61" spans="2:11">
      <c r="B61" s="468" t="str">
        <f>Main!D380</f>
        <v>#7.17</v>
      </c>
      <c r="C61" s="469" t="str">
        <f>VLOOKUP(B61,GasProcessMainfromInput,Main!$E$756,FALSE)</f>
        <v>Conventional Gas &gt; 5 and &lt;= 10 TJ/day</v>
      </c>
      <c r="D61" s="470"/>
      <c r="E61" s="471"/>
      <c r="F61" s="474">
        <f>VLOOKUP($C61,conc_levy_sp_mass_defs,Assumptions!$E$1,FALSE)</f>
        <v>50.4</v>
      </c>
      <c r="G61" s="477" t="s">
        <v>1717</v>
      </c>
      <c r="H61" s="474">
        <f>HLOOKUP(C61,'Process Facilities'!$K$35:$R$61,'Process Facilities'!$S$58,FALSE)</f>
        <v>0</v>
      </c>
      <c r="I61" s="474">
        <f>VLOOKUP(B61,ConvGasMain,Main!$H$756,FALSE)</f>
        <v>0</v>
      </c>
      <c r="J61" s="477" t="s">
        <v>1718</v>
      </c>
      <c r="K61" s="476">
        <f t="shared" si="0"/>
        <v>0</v>
      </c>
    </row>
    <row r="62" spans="2:11">
      <c r="B62" s="468" t="str">
        <f>Main!D381</f>
        <v>#7.18</v>
      </c>
      <c r="C62" s="469" t="str">
        <f>VLOOKUP(B62,GasProcessMainfromInput,Main!$E$756,FALSE)</f>
        <v>Conventional Gas &gt; 10 and &lt;= 15 TJ/day</v>
      </c>
      <c r="D62" s="470"/>
      <c r="E62" s="471"/>
      <c r="F62" s="474">
        <f>VLOOKUP($C62,conc_levy_sp_mass_defs,Assumptions!$E$1,FALSE)</f>
        <v>100.8</v>
      </c>
      <c r="G62" s="477" t="s">
        <v>1717</v>
      </c>
      <c r="H62" s="474">
        <f>HLOOKUP(C62,'Process Facilities'!$K$35:$R$61,'Process Facilities'!$S$58,FALSE)</f>
        <v>0</v>
      </c>
      <c r="I62" s="474">
        <f>VLOOKUP(B62,ConvGasMain,Main!$H$756,FALSE)</f>
        <v>0</v>
      </c>
      <c r="J62" s="477" t="s">
        <v>1718</v>
      </c>
      <c r="K62" s="476">
        <f t="shared" si="0"/>
        <v>0</v>
      </c>
    </row>
    <row r="63" spans="2:11">
      <c r="B63" s="468" t="str">
        <f>Main!D382</f>
        <v>#7.19</v>
      </c>
      <c r="C63" s="469" t="str">
        <f>VLOOKUP(B63,GasProcessMainfromInput,Main!$E$756,FALSE)</f>
        <v>Conventional Gas &gt; 15 and &lt;= 25 TJ/day</v>
      </c>
      <c r="D63" s="470"/>
      <c r="E63" s="471"/>
      <c r="F63" s="474">
        <f>VLOOKUP($C63,conc_levy_sp_mass_defs,Assumptions!$E$1,FALSE)</f>
        <v>100.8</v>
      </c>
      <c r="G63" s="477" t="s">
        <v>1717</v>
      </c>
      <c r="H63" s="474">
        <f>HLOOKUP(C63,'Process Facilities'!$K$35:$R$61,'Process Facilities'!$S$58,FALSE)</f>
        <v>0</v>
      </c>
      <c r="I63" s="474">
        <f>VLOOKUP(B63,ConvGasMain,Main!$H$756,FALSE)</f>
        <v>0</v>
      </c>
      <c r="J63" s="477" t="s">
        <v>1718</v>
      </c>
      <c r="K63" s="476">
        <f t="shared" si="0"/>
        <v>0</v>
      </c>
    </row>
    <row r="64" spans="2:11">
      <c r="B64" s="468" t="str">
        <f>Main!D383</f>
        <v>#7.20</v>
      </c>
      <c r="C64" s="469" t="str">
        <f>VLOOKUP(B64,GasProcessMainfromInput,Main!$E$756,FALSE)</f>
        <v>Conventional Gas &gt; 25 and &lt;= 50 TJ/day</v>
      </c>
      <c r="D64" s="470"/>
      <c r="E64" s="471"/>
      <c r="F64" s="474">
        <f>VLOOKUP($C64,conc_levy_sp_mass_defs,Assumptions!$E$1,FALSE)</f>
        <v>151.19999999999999</v>
      </c>
      <c r="G64" s="477" t="s">
        <v>1717</v>
      </c>
      <c r="H64" s="474">
        <f>HLOOKUP(C64,'Process Facilities'!$K$35:$R$61,'Process Facilities'!$S$58,FALSE)</f>
        <v>0</v>
      </c>
      <c r="I64" s="474">
        <f>VLOOKUP(B64,ConvGasMain,Main!$H$756,FALSE)</f>
        <v>0</v>
      </c>
      <c r="J64" s="477" t="s">
        <v>1718</v>
      </c>
      <c r="K64" s="476">
        <f t="shared" si="0"/>
        <v>0</v>
      </c>
    </row>
    <row r="65" spans="2:11">
      <c r="B65" s="468" t="str">
        <f>Main!D386</f>
        <v>#7.21</v>
      </c>
      <c r="C65" s="469" t="str">
        <f>VLOOKUP(B65,GasProcessMainfromInput,Main!$E$756,FALSE)</f>
        <v>Conventional Oil &gt; 0 and &lt;= 50 kL</v>
      </c>
      <c r="D65" s="470"/>
      <c r="E65" s="471"/>
      <c r="F65" s="474">
        <f>VLOOKUP($C65,conc_levy_sp_mass_defs,Assumptions!$E$1,FALSE)</f>
        <v>0</v>
      </c>
      <c r="G65" s="477" t="s">
        <v>1717</v>
      </c>
      <c r="H65" s="474">
        <f>HLOOKUP(C65,'Process Facilities'!$K$123:$R$146,'Process Facilities'!$R$146,FALSE)</f>
        <v>0</v>
      </c>
      <c r="I65" s="474">
        <f>VLOOKUP(B65,ConvOilMain,Main!$H$756,FALSE)</f>
        <v>0</v>
      </c>
      <c r="J65" s="477" t="s">
        <v>1718</v>
      </c>
      <c r="K65" s="476">
        <f t="shared" si="0"/>
        <v>0</v>
      </c>
    </row>
    <row r="66" spans="2:11">
      <c r="B66" s="468" t="str">
        <f>Main!D387</f>
        <v>#7.22</v>
      </c>
      <c r="C66" s="469" t="str">
        <f>VLOOKUP(B66,GasProcessMainfromInput,Main!$E$756,FALSE)</f>
        <v>Conventional Oil &gt; 50 and &lt;= 200 kL</v>
      </c>
      <c r="D66" s="470"/>
      <c r="E66" s="471"/>
      <c r="F66" s="474">
        <f>VLOOKUP($C66,conc_levy_sp_mass_defs,Assumptions!$E$1,FALSE)</f>
        <v>0</v>
      </c>
      <c r="G66" s="477" t="s">
        <v>1717</v>
      </c>
      <c r="H66" s="474">
        <f>HLOOKUP(C66,'Process Facilities'!$K$123:$R$146,'Process Facilities'!$R$146,FALSE)</f>
        <v>0</v>
      </c>
      <c r="I66" s="474">
        <f>VLOOKUP(B66,ConvOilMain,Main!$H$756,FALSE)</f>
        <v>0</v>
      </c>
      <c r="J66" s="477" t="s">
        <v>1718</v>
      </c>
      <c r="K66" s="476">
        <f t="shared" si="0"/>
        <v>0</v>
      </c>
    </row>
    <row r="67" spans="2:11">
      <c r="B67" s="468" t="str">
        <f>Main!D388</f>
        <v>#7.23</v>
      </c>
      <c r="C67" s="469" t="str">
        <f>VLOOKUP(B67,GasProcessMainfromInput,Main!$E$756,FALSE)</f>
        <v>Conventional Oil &gt; 200 and &lt;= 1000 kL</v>
      </c>
      <c r="D67" s="470"/>
      <c r="E67" s="471"/>
      <c r="F67" s="474">
        <f>VLOOKUP($C67,conc_levy_sp_mass_defs,Assumptions!$E$1,FALSE)</f>
        <v>22.61946710584651</v>
      </c>
      <c r="G67" s="477" t="s">
        <v>1717</v>
      </c>
      <c r="H67" s="474">
        <f>HLOOKUP(C67,'Process Facilities'!$K$123:$R$146,'Process Facilities'!$R$146,FALSE)</f>
        <v>0</v>
      </c>
      <c r="I67" s="474">
        <f>VLOOKUP(B67,ConvOilMain,Main!$H$756,FALSE)</f>
        <v>0</v>
      </c>
      <c r="J67" s="477" t="s">
        <v>1718</v>
      </c>
      <c r="K67" s="476">
        <f t="shared" si="0"/>
        <v>0</v>
      </c>
    </row>
    <row r="68" spans="2:11">
      <c r="B68" s="468" t="str">
        <f>Main!D389</f>
        <v>#7.24</v>
      </c>
      <c r="C68" s="469" t="str">
        <f>VLOOKUP(B68,GasProcessMainfromInput,Main!$E$756,FALSE)</f>
        <v>Conventional Oil &gt; 1000 and &lt;= 5000 kL</v>
      </c>
      <c r="D68" s="470"/>
      <c r="E68" s="471"/>
      <c r="F68" s="474">
        <f>VLOOKUP($C68,conc_levy_sp_mass_defs,Assumptions!$E$1,FALSE)</f>
        <v>54.286721054031624</v>
      </c>
      <c r="G68" s="477" t="s">
        <v>1717</v>
      </c>
      <c r="H68" s="474">
        <f>HLOOKUP(C68,'Process Facilities'!$K$123:$R$146,'Process Facilities'!$R$146,FALSE)</f>
        <v>0</v>
      </c>
      <c r="I68" s="474">
        <f>VLOOKUP(B68,ConvOilMain,Main!$H$756,FALSE)</f>
        <v>0</v>
      </c>
      <c r="J68" s="477" t="s">
        <v>1718</v>
      </c>
      <c r="K68" s="476">
        <f t="shared" si="0"/>
        <v>0</v>
      </c>
    </row>
    <row r="69" spans="2:11">
      <c r="B69" s="468" t="str">
        <f>Main!D390</f>
        <v>#7.25</v>
      </c>
      <c r="C69" s="469" t="str">
        <f>VLOOKUP(B69,GasProcessMainfromInput,Main!$E$756,FALSE)</f>
        <v>Conventional Oil &gt; 5000 and &lt;= 10000 kL</v>
      </c>
      <c r="D69" s="470"/>
      <c r="E69" s="471"/>
      <c r="F69" s="474">
        <f>VLOOKUP($C69,conc_levy_sp_mass_defs,Assumptions!$E$1,FALSE)</f>
        <v>111.58937105550945</v>
      </c>
      <c r="G69" s="477" t="s">
        <v>1717</v>
      </c>
      <c r="H69" s="474">
        <f>HLOOKUP(C69,'Process Facilities'!$K$123:$R$146,'Process Facilities'!$R$146,FALSE)</f>
        <v>0</v>
      </c>
      <c r="I69" s="474">
        <f>VLOOKUP(B69,ConvOilMain,Main!$H$756,FALSE)</f>
        <v>0</v>
      </c>
      <c r="J69" s="477" t="s">
        <v>1718</v>
      </c>
      <c r="K69" s="476">
        <f t="shared" si="0"/>
        <v>0</v>
      </c>
    </row>
    <row r="70" spans="2:11">
      <c r="B70" s="468" t="str">
        <f>Main!D391</f>
        <v>#7.26</v>
      </c>
      <c r="C70" s="469" t="str">
        <f>VLOOKUP(B70,GasProcessMainfromInput,Main!$E$756,FALSE)</f>
        <v>Conventional Oil &gt; 10000 and &lt;= 25000 kL</v>
      </c>
      <c r="D70" s="470"/>
      <c r="E70" s="471"/>
      <c r="F70" s="474">
        <f>VLOOKUP($C70,conc_levy_sp_mass_defs,Assumptions!$E$1,FALSE)</f>
        <v>104.80353092375546</v>
      </c>
      <c r="G70" s="477" t="s">
        <v>1717</v>
      </c>
      <c r="H70" s="474">
        <f>HLOOKUP(C70,'Process Facilities'!$K$123:$R$146,'Process Facilities'!$R$146,FALSE)</f>
        <v>0</v>
      </c>
      <c r="I70" s="474">
        <f>VLOOKUP(B70,ConvOilMain,Main!$H$756,FALSE)</f>
        <v>0</v>
      </c>
      <c r="J70" s="477" t="s">
        <v>1718</v>
      </c>
      <c r="K70" s="476">
        <f t="shared" si="0"/>
        <v>0</v>
      </c>
    </row>
    <row r="71" spans="2:11">
      <c r="B71" s="468" t="str">
        <f>Main!D392</f>
        <v>#7.27</v>
      </c>
      <c r="C71" s="469" t="str">
        <f>VLOOKUP(B71,GasProcessMainfromInput,Main!$E$756,FALSE)</f>
        <v>Conventional Oil &gt; 25000 and &lt;= 50000 kL</v>
      </c>
      <c r="D71" s="470"/>
      <c r="E71" s="471"/>
      <c r="F71" s="474">
        <f>VLOOKUP($C71,conc_levy_sp_mass_defs,Assumptions!$E$1,FALSE)</f>
        <v>202.82122171575702</v>
      </c>
      <c r="G71" s="477" t="s">
        <v>1717</v>
      </c>
      <c r="H71" s="474">
        <f>HLOOKUP(C71,'Process Facilities'!$K$123:$R$146,'Process Facilities'!$R$146,FALSE)</f>
        <v>0</v>
      </c>
      <c r="I71" s="474">
        <f>VLOOKUP(B71,ConvOilMain,Main!$H$756,FALSE)</f>
        <v>0</v>
      </c>
      <c r="J71" s="477" t="s">
        <v>1718</v>
      </c>
      <c r="K71" s="476">
        <f t="shared" ref="K71:K101" si="1">(IF(H71="N/A",0,H71)+I71)*F71</f>
        <v>0</v>
      </c>
    </row>
    <row r="72" spans="2:11">
      <c r="B72" s="468" t="str">
        <f>Main!D395</f>
        <v>#7.29</v>
      </c>
      <c r="C72" s="469" t="str">
        <f>VLOOKUP(B72,GasProcessMainfromInput,Main!$E$756,FALSE)</f>
        <v>LPG Plant &lt;= 500 kL</v>
      </c>
      <c r="D72" s="470"/>
      <c r="E72" s="471"/>
      <c r="F72" s="474">
        <f>VLOOKUP($C72,conc_levy_sp_mass_defs,Assumptions!$E$1,FALSE)</f>
        <v>370.89557368467723</v>
      </c>
      <c r="G72" s="477" t="s">
        <v>1717</v>
      </c>
      <c r="H72" s="474">
        <f>HLOOKUP(C72,'Process Facilities'!$K$152:$M$165,'Process Facilities'!$M$165,FALSE)</f>
        <v>0</v>
      </c>
      <c r="I72" s="474">
        <f>VLOOKUP(B72,LPGMain,Main!$H$756,FALSE)</f>
        <v>0</v>
      </c>
      <c r="J72" s="477" t="s">
        <v>1718</v>
      </c>
      <c r="K72" s="476">
        <f t="shared" si="1"/>
        <v>0</v>
      </c>
    </row>
    <row r="73" spans="2:11">
      <c r="B73" s="468" t="str">
        <f>Main!D396</f>
        <v>#7.30</v>
      </c>
      <c r="C73" s="469" t="str">
        <f>VLOOKUP(B73,GasProcessMainfromInput,Main!$E$756,FALSE)</f>
        <v>LPG Plant &gt; 500 kL</v>
      </c>
      <c r="D73" s="470"/>
      <c r="E73" s="471"/>
      <c r="F73" s="474">
        <f>VLOOKUP($C73,conc_levy_sp_mass_defs,Assumptions!$E$1,FALSE)</f>
        <v>640.99114736935439</v>
      </c>
      <c r="G73" s="477" t="s">
        <v>1717</v>
      </c>
      <c r="H73" s="474">
        <f>HLOOKUP(C73,'Process Facilities'!$K$152:$M$165,'Process Facilities'!$M$165,FALSE)</f>
        <v>0</v>
      </c>
      <c r="I73" s="474">
        <f>VLOOKUP(B73,LPGMain,Main!$H$756,FALSE)</f>
        <v>0</v>
      </c>
      <c r="J73" s="477" t="s">
        <v>1718</v>
      </c>
      <c r="K73" s="476">
        <f t="shared" si="1"/>
        <v>0</v>
      </c>
    </row>
    <row r="74" spans="2:11">
      <c r="B74" s="481" t="str">
        <f>Main!D401</f>
        <v>#8.01</v>
      </c>
      <c r="C74" s="469" t="str">
        <f>VLOOKUP(B74,LNGMain,Main!$E$756,FALSE)</f>
        <v>LNG Plant 1 train</v>
      </c>
      <c r="D74" s="470"/>
      <c r="E74" s="471"/>
      <c r="F74" s="474">
        <f>VLOOKUP($C74,conc_levy_sp_mass_defs,Assumptions!$E$1,FALSE)</f>
        <v>69326.672869638162</v>
      </c>
      <c r="G74" s="477" t="s">
        <v>1717</v>
      </c>
      <c r="H74" s="474">
        <f>IF(AND('LNG Facilities User Build'!$E$7='Waste Register'!C74,'LNG Facilities User Build'!$E$3&gt;0),1,0)</f>
        <v>0</v>
      </c>
      <c r="I74" s="482">
        <f>VLOOKUP(B74,LNGMain,Main!$H$756,FALSE)</f>
        <v>0</v>
      </c>
      <c r="J74" s="477" t="s">
        <v>1718</v>
      </c>
      <c r="K74" s="476">
        <f t="shared" si="1"/>
        <v>0</v>
      </c>
    </row>
    <row r="75" spans="2:11">
      <c r="B75" s="481" t="str">
        <f>Main!D402</f>
        <v>#8.02</v>
      </c>
      <c r="C75" s="469" t="str">
        <f>VLOOKUP(B75,LNGMain,Main!$E$756,FALSE)</f>
        <v>LNG Plant 2 train</v>
      </c>
      <c r="D75" s="470"/>
      <c r="E75" s="471"/>
      <c r="F75" s="474">
        <f>VLOOKUP($C75,conc_levy_sp_mass_defs,Assumptions!$E$1,FALSE)</f>
        <v>69380.672869638162</v>
      </c>
      <c r="G75" s="477" t="s">
        <v>1717</v>
      </c>
      <c r="H75" s="474">
        <f>IF(AND('LNG Facilities User Build'!$E$7='Waste Register'!C75,'LNG Facilities User Build'!$E$3&gt;0),1,0)</f>
        <v>0</v>
      </c>
      <c r="I75" s="482">
        <f>VLOOKUP(B75,LNGMain,Main!$H$756,FALSE)</f>
        <v>0</v>
      </c>
      <c r="J75" s="477" t="s">
        <v>1718</v>
      </c>
      <c r="K75" s="476">
        <f t="shared" si="1"/>
        <v>0</v>
      </c>
    </row>
    <row r="76" spans="2:11">
      <c r="B76" s="481" t="str">
        <f>Main!D403</f>
        <v>#8.03</v>
      </c>
      <c r="C76" s="469" t="str">
        <f>VLOOKUP(B76,LNGMain,Main!$E$756,FALSE)</f>
        <v>LNG Plant 3 train</v>
      </c>
      <c r="D76" s="470"/>
      <c r="E76" s="471"/>
      <c r="F76" s="474">
        <f>VLOOKUP($C76,conc_levy_sp_mass_defs,Assumptions!$E$1,FALSE)</f>
        <v>69434.672869638162</v>
      </c>
      <c r="G76" s="477" t="s">
        <v>1717</v>
      </c>
      <c r="H76" s="474">
        <f>IF(AND('LNG Facilities User Build'!$E$7='Waste Register'!C76,'LNG Facilities User Build'!$E$3&gt;0),1,0)</f>
        <v>0</v>
      </c>
      <c r="I76" s="482">
        <f>VLOOKUP(B76,LNGMain,Main!$H$756,FALSE)</f>
        <v>0</v>
      </c>
      <c r="J76" s="477" t="s">
        <v>1718</v>
      </c>
      <c r="K76" s="476">
        <f t="shared" si="1"/>
        <v>0</v>
      </c>
    </row>
    <row r="77" spans="2:11">
      <c r="B77" s="468" t="str">
        <f>Main!D413</f>
        <v>#9.01</v>
      </c>
      <c r="C77" s="469" t="str">
        <f>VLOOKUP(B77,WaterPlantMain,Main!$E$756,FALSE)</f>
        <v>Water Treatment Plant 1 ML/day</v>
      </c>
      <c r="D77" s="470"/>
      <c r="E77" s="471"/>
      <c r="F77" s="474">
        <f>VLOOKUP($C77,conc_levy_sp_mass_defs,Assumptions!$E$1,FALSE)</f>
        <v>105.6</v>
      </c>
      <c r="G77" s="477" t="s">
        <v>1717</v>
      </c>
      <c r="H77" s="474">
        <f>HLOOKUP(C77,'Process Facilities'!$K$64:$S$87,'Process Facilities'!$S$87,FALSE)</f>
        <v>0</v>
      </c>
      <c r="I77" s="482">
        <f>VLOOKUP(B77,WaterPlantMain,Main!$H$756,FALSE)</f>
        <v>0</v>
      </c>
      <c r="J77" s="477" t="s">
        <v>1718</v>
      </c>
      <c r="K77" s="476">
        <f t="shared" si="1"/>
        <v>0</v>
      </c>
    </row>
    <row r="78" spans="2:11">
      <c r="B78" s="468" t="str">
        <f>Main!D414</f>
        <v>#9.02</v>
      </c>
      <c r="C78" s="469" t="str">
        <f>VLOOKUP(B78,WaterPlantMain,Main!$E$756,FALSE)</f>
        <v>Water Treatment Plant 2 ML/day</v>
      </c>
      <c r="D78" s="470"/>
      <c r="E78" s="471"/>
      <c r="F78" s="474">
        <f>VLOOKUP($C78,conc_levy_sp_mass_defs,Assumptions!$E$1,FALSE)</f>
        <v>211.2</v>
      </c>
      <c r="G78" s="477" t="s">
        <v>1717</v>
      </c>
      <c r="H78" s="474">
        <f>HLOOKUP(C78,'Process Facilities'!$K$64:$S$87,'Process Facilities'!$S$87,FALSE)</f>
        <v>0</v>
      </c>
      <c r="I78" s="482">
        <f>VLOOKUP(B78,WaterPlantMain,Main!$H$756,FALSE)</f>
        <v>0</v>
      </c>
      <c r="J78" s="477" t="s">
        <v>1718</v>
      </c>
      <c r="K78" s="476">
        <f t="shared" si="1"/>
        <v>0</v>
      </c>
    </row>
    <row r="79" spans="2:11">
      <c r="B79" s="468" t="str">
        <f>Main!D415</f>
        <v>#9.03</v>
      </c>
      <c r="C79" s="469" t="str">
        <f>VLOOKUP(B79,WaterPlantMain,Main!$E$756,FALSE)</f>
        <v>Water Treatment Plant 6 ML/day</v>
      </c>
      <c r="D79" s="470"/>
      <c r="E79" s="471"/>
      <c r="F79" s="474">
        <f>VLOOKUP($C79,conc_levy_sp_mass_defs,Assumptions!$E$1,FALSE)</f>
        <v>475.2</v>
      </c>
      <c r="G79" s="477" t="s">
        <v>1717</v>
      </c>
      <c r="H79" s="474">
        <f>HLOOKUP(C79,'Process Facilities'!$K$64:$S$87,'Process Facilities'!$S$87,FALSE)</f>
        <v>0</v>
      </c>
      <c r="I79" s="482">
        <f>VLOOKUP(B79,WaterPlantMain,Main!$H$756,FALSE)</f>
        <v>0</v>
      </c>
      <c r="J79" s="477" t="s">
        <v>1718</v>
      </c>
      <c r="K79" s="476">
        <f t="shared" si="1"/>
        <v>0</v>
      </c>
    </row>
    <row r="80" spans="2:11">
      <c r="B80" s="468" t="str">
        <f>Main!D416</f>
        <v>#9.04</v>
      </c>
      <c r="C80" s="469" t="str">
        <f>VLOOKUP(B80,WaterPlantMain,Main!$E$756,FALSE)</f>
        <v>Water Treatment Plant 12 ML/day</v>
      </c>
      <c r="D80" s="470"/>
      <c r="E80" s="471"/>
      <c r="F80" s="474">
        <f>VLOOKUP($C80,conc_levy_sp_mass_defs,Assumptions!$E$1,FALSE)</f>
        <v>580.79999999999995</v>
      </c>
      <c r="G80" s="477" t="s">
        <v>1717</v>
      </c>
      <c r="H80" s="474">
        <f>HLOOKUP(C80,'Process Facilities'!$K$64:$S$87,'Process Facilities'!$S$87,FALSE)</f>
        <v>0</v>
      </c>
      <c r="I80" s="482">
        <f>VLOOKUP(B80,WaterPlantMain,Main!$H$756,FALSE)</f>
        <v>0</v>
      </c>
      <c r="J80" s="477" t="s">
        <v>1718</v>
      </c>
      <c r="K80" s="476">
        <f t="shared" si="1"/>
        <v>0</v>
      </c>
    </row>
    <row r="81" spans="2:11">
      <c r="B81" s="468" t="str">
        <f>Main!D417</f>
        <v>#9.05</v>
      </c>
      <c r="C81" s="469" t="str">
        <f>VLOOKUP(B81,WaterPlantMain,Main!$E$756,FALSE)</f>
        <v>Water Treatment Plant 20 ML/day</v>
      </c>
      <c r="D81" s="470"/>
      <c r="E81" s="471"/>
      <c r="F81" s="474">
        <f>VLOOKUP($C81,conc_levy_sp_mass_defs,Assumptions!$E$1,FALSE)</f>
        <v>739.19999999999993</v>
      </c>
      <c r="G81" s="477" t="s">
        <v>1717</v>
      </c>
      <c r="H81" s="474">
        <f>HLOOKUP(C81,'Process Facilities'!$K$64:$S$87,'Process Facilities'!$S$87,FALSE)</f>
        <v>0</v>
      </c>
      <c r="I81" s="482">
        <f>VLOOKUP(B81,WaterPlantMain,Main!$H$756,FALSE)</f>
        <v>0</v>
      </c>
      <c r="J81" s="477" t="s">
        <v>1718</v>
      </c>
      <c r="K81" s="476">
        <f t="shared" si="1"/>
        <v>0</v>
      </c>
    </row>
    <row r="82" spans="2:11">
      <c r="B82" s="468" t="str">
        <f>Main!D418</f>
        <v>#9.06</v>
      </c>
      <c r="C82" s="469" t="str">
        <f>VLOOKUP(B82,WaterPlantMain,Main!$E$756,FALSE)</f>
        <v>Water Treatment Plant 40 ML/day</v>
      </c>
      <c r="D82" s="470"/>
      <c r="E82" s="471"/>
      <c r="F82" s="474">
        <f>VLOOKUP($C82,conc_levy_sp_mass_defs,Assumptions!$E$1,FALSE)</f>
        <v>844.8</v>
      </c>
      <c r="G82" s="477" t="s">
        <v>1717</v>
      </c>
      <c r="H82" s="474">
        <f>HLOOKUP(C82,'Process Facilities'!$K$64:$S$87,'Process Facilities'!$S$87,FALSE)</f>
        <v>0</v>
      </c>
      <c r="I82" s="482">
        <f>VLOOKUP(B82,WaterPlantMain,Main!$H$756,FALSE)</f>
        <v>0</v>
      </c>
      <c r="J82" s="477" t="s">
        <v>1718</v>
      </c>
      <c r="K82" s="476">
        <f t="shared" si="1"/>
        <v>0</v>
      </c>
    </row>
    <row r="83" spans="2:11">
      <c r="B83" s="468" t="str">
        <f>Main!D419</f>
        <v>#9.07</v>
      </c>
      <c r="C83" s="469" t="str">
        <f>VLOOKUP(B83,WaterPlantMain,Main!$E$756,FALSE)</f>
        <v>Water Treatment Plant 80 ML/day BC&amp;TC</v>
      </c>
      <c r="D83" s="470"/>
      <c r="E83" s="471"/>
      <c r="F83" s="474">
        <f>VLOOKUP($C83,conc_levy_sp_mass_defs,Assumptions!$E$1,FALSE)</f>
        <v>4012.7999999999997</v>
      </c>
      <c r="G83" s="477" t="s">
        <v>1717</v>
      </c>
      <c r="H83" s="474">
        <f>HLOOKUP(C83,'Process Facilities'!$K$64:$S$87,'Process Facilities'!$S$87,FALSE)</f>
        <v>0</v>
      </c>
      <c r="I83" s="482">
        <f>VLOOKUP(B83,WaterPlantMain,Main!$H$756,FALSE)</f>
        <v>0</v>
      </c>
      <c r="J83" s="477" t="s">
        <v>1718</v>
      </c>
      <c r="K83" s="476">
        <f t="shared" si="1"/>
        <v>0</v>
      </c>
    </row>
    <row r="84" spans="2:11">
      <c r="B84" s="468" t="str">
        <f>Main!D420</f>
        <v>#9.08</v>
      </c>
      <c r="C84" s="469" t="str">
        <f>VLOOKUP(B84,WaterPlantMain,Main!$E$756,FALSE)</f>
        <v>Water Treatment Plant 100 ML/day BC&amp;TC</v>
      </c>
      <c r="D84" s="470"/>
      <c r="E84" s="471"/>
      <c r="F84" s="474">
        <f>VLOOKUP($C84,conc_levy_sp_mass_defs,Assumptions!$E$1,FALSE)</f>
        <v>4435.2</v>
      </c>
      <c r="G84" s="477" t="s">
        <v>1717</v>
      </c>
      <c r="H84" s="474">
        <f>HLOOKUP(C84,'Process Facilities'!$K$64:$S$87,'Process Facilities'!$S$87,FALSE)</f>
        <v>0</v>
      </c>
      <c r="I84" s="482">
        <f>VLOOKUP(B84,WaterPlantMain,Main!$H$756,FALSE)</f>
        <v>0</v>
      </c>
      <c r="J84" s="477" t="s">
        <v>1718</v>
      </c>
      <c r="K84" s="476">
        <f t="shared" si="1"/>
        <v>0</v>
      </c>
    </row>
    <row r="85" spans="2:11">
      <c r="B85" s="481" t="str">
        <f>Main!D620</f>
        <v>#10.172</v>
      </c>
      <c r="C85" s="469" t="str">
        <f>VLOOKUP(B85,TanksMain,Main!$E$756,FALSE)</f>
        <v>Vertical, Steel, Closed top, Steel, Single skin, Not lined, 500 kL</v>
      </c>
      <c r="D85" s="470"/>
      <c r="E85" s="471"/>
      <c r="F85" s="474">
        <f>VLOOKUP($C85,conc_levy_sp_mass_defs,Assumptions!$E$1,FALSE)</f>
        <v>13.571680263507908</v>
      </c>
      <c r="G85" s="477" t="s">
        <v>1719</v>
      </c>
      <c r="H85" s="482">
        <f>VLOOKUP(C85,'Process Facilities User Build'!$B$7:$Y$77,'Process Facilities User Build'!$Y$92,FALSE)</f>
        <v>0</v>
      </c>
      <c r="I85" s="482">
        <f>VLOOKUP(B85,TanksMain,Main!$H$756,FALSE)</f>
        <v>0</v>
      </c>
      <c r="J85" s="475" t="s">
        <v>1720</v>
      </c>
      <c r="K85" s="476">
        <f t="shared" si="1"/>
        <v>0</v>
      </c>
    </row>
    <row r="86" spans="2:11">
      <c r="B86" s="481" t="str">
        <f>Main!D621</f>
        <v>#10.173</v>
      </c>
      <c r="C86" s="469" t="str">
        <f>VLOOKUP(B86,TanksMain,Main!$E$756,FALSE)</f>
        <v>Vertical, Steel, Closed top, Steel, Single skin, Not lined, 1000 kL</v>
      </c>
      <c r="D86" s="470"/>
      <c r="E86" s="471"/>
      <c r="F86" s="474">
        <f>VLOOKUP($C86,conc_levy_sp_mass_defs,Assumptions!$E$1,FALSE)</f>
        <v>16.587609210954106</v>
      </c>
      <c r="G86" s="477" t="s">
        <v>1719</v>
      </c>
      <c r="H86" s="482">
        <f>VLOOKUP(C86,'Process Facilities User Build'!$B$7:$Y$77,'Process Facilities User Build'!$Y$92,FALSE)</f>
        <v>0</v>
      </c>
      <c r="I86" s="482">
        <f>VLOOKUP(B86,TanksMain,Main!$H$756,FALSE)</f>
        <v>0</v>
      </c>
      <c r="J86" s="475" t="s">
        <v>1720</v>
      </c>
      <c r="K86" s="476">
        <f t="shared" si="1"/>
        <v>0</v>
      </c>
    </row>
    <row r="87" spans="2:11">
      <c r="B87" s="481" t="str">
        <f>Main!D622</f>
        <v>#10.174</v>
      </c>
      <c r="C87" s="469" t="str">
        <f>VLOOKUP(B87,TanksMain,Main!$E$756,FALSE)</f>
        <v>Vertical, Steel, Closed top, Steel, Single skin, Not lined, 2000 kL</v>
      </c>
      <c r="D87" s="470"/>
      <c r="E87" s="471"/>
      <c r="F87" s="474">
        <f>VLOOKUP($C87,conc_levy_sp_mass_defs,Assumptions!$E$1,FALSE)</f>
        <v>19.603538158400305</v>
      </c>
      <c r="G87" s="477" t="s">
        <v>1719</v>
      </c>
      <c r="H87" s="482">
        <f>VLOOKUP(C87,'Process Facilities User Build'!$B$7:$Y$77,'Process Facilities User Build'!$Y$92,FALSE)</f>
        <v>0</v>
      </c>
      <c r="I87" s="482">
        <f>VLOOKUP(B87,TanksMain,Main!$H$756,FALSE)</f>
        <v>0</v>
      </c>
      <c r="J87" s="475" t="s">
        <v>1720</v>
      </c>
      <c r="K87" s="476">
        <f t="shared" si="1"/>
        <v>0</v>
      </c>
    </row>
    <row r="88" spans="2:11">
      <c r="B88" s="481" t="str">
        <f>Main!D623</f>
        <v>#10.175</v>
      </c>
      <c r="C88" s="469" t="str">
        <f>VLOOKUP(B88,TanksMain,Main!$E$756,FALSE)</f>
        <v>Vertical, Steel, Closed top, Steel, Single skin, Not lined, 3000 kL</v>
      </c>
      <c r="D88" s="470"/>
      <c r="E88" s="471"/>
      <c r="F88" s="474">
        <f>VLOOKUP($C88,conc_levy_sp_mass_defs,Assumptions!$E$1,FALSE)</f>
        <v>22.619467105846514</v>
      </c>
      <c r="G88" s="477" t="s">
        <v>1719</v>
      </c>
      <c r="H88" s="482">
        <f>VLOOKUP(C88,'Process Facilities User Build'!$B$7:$Y$77,'Process Facilities User Build'!$Y$92,FALSE)</f>
        <v>0</v>
      </c>
      <c r="I88" s="482">
        <f>VLOOKUP(B88,TanksMain,Main!$H$756,FALSE)</f>
        <v>0</v>
      </c>
      <c r="J88" s="475" t="s">
        <v>1720</v>
      </c>
      <c r="K88" s="476">
        <f t="shared" si="1"/>
        <v>0</v>
      </c>
    </row>
    <row r="89" spans="2:11">
      <c r="B89" s="481" t="str">
        <f>Main!D624</f>
        <v>#10.176</v>
      </c>
      <c r="C89" s="469" t="str">
        <f>VLOOKUP(B89,TanksMain,Main!$E$756,FALSE)</f>
        <v>Vertical, Steel, Closed top, Steel, Single skin, Not lined, 5000 kL</v>
      </c>
      <c r="D89" s="470"/>
      <c r="E89" s="471"/>
      <c r="F89" s="474">
        <f>VLOOKUP($C89,conc_levy_sp_mass_defs,Assumptions!$E$1,FALSE)</f>
        <v>25.635396053292705</v>
      </c>
      <c r="G89" s="477" t="s">
        <v>1719</v>
      </c>
      <c r="H89" s="482">
        <f>VLOOKUP(C89,'Process Facilities User Build'!$B$7:$Y$77,'Process Facilities User Build'!$Y$92,FALSE)</f>
        <v>0</v>
      </c>
      <c r="I89" s="482">
        <f>VLOOKUP(B89,TanksMain,Main!$H$756,FALSE)</f>
        <v>0</v>
      </c>
      <c r="J89" s="475" t="s">
        <v>1720</v>
      </c>
      <c r="K89" s="476">
        <f t="shared" si="1"/>
        <v>0</v>
      </c>
    </row>
    <row r="90" spans="2:11">
      <c r="B90" s="481" t="str">
        <f>Main!D625</f>
        <v>#10.177</v>
      </c>
      <c r="C90" s="469" t="str">
        <f>VLOOKUP(B90,TanksMain,Main!$E$756,FALSE)</f>
        <v>Vertical, Steel, Closed top, Steel, Single skin, Not lined, 7500 kL</v>
      </c>
      <c r="D90" s="470"/>
      <c r="E90" s="471"/>
      <c r="F90" s="474">
        <f>VLOOKUP($C90,conc_levy_sp_mass_defs,Assumptions!$E$1,FALSE)</f>
        <v>27.143360527015805</v>
      </c>
      <c r="G90" s="477" t="s">
        <v>1719</v>
      </c>
      <c r="H90" s="482">
        <f>VLOOKUP(C90,'Process Facilities User Build'!$B$7:$Y$77,'Process Facilities User Build'!$Y$92,FALSE)</f>
        <v>0</v>
      </c>
      <c r="I90" s="482">
        <f>VLOOKUP(B90,TanksMain,Main!$H$756,FALSE)</f>
        <v>0</v>
      </c>
      <c r="J90" s="475" t="s">
        <v>1720</v>
      </c>
      <c r="K90" s="476">
        <f t="shared" si="1"/>
        <v>0</v>
      </c>
    </row>
    <row r="91" spans="2:11">
      <c r="B91" s="481" t="str">
        <f>Main!D626</f>
        <v>#10.178</v>
      </c>
      <c r="C91" s="469" t="str">
        <f>VLOOKUP(B91,TanksMain,Main!$E$756,FALSE)</f>
        <v>Vertical, Steel, Closed top, Steel, Single skin, Not lined, 10000 kL</v>
      </c>
      <c r="D91" s="470"/>
      <c r="E91" s="471"/>
      <c r="F91" s="474">
        <f>VLOOKUP($C91,conc_levy_sp_mass_defs,Assumptions!$E$1,FALSE)</f>
        <v>29.405307237600447</v>
      </c>
      <c r="G91" s="477" t="s">
        <v>1719</v>
      </c>
      <c r="H91" s="482">
        <f>VLOOKUP(C91,'Process Facilities User Build'!$B$7:$Y$77,'Process Facilities User Build'!$Y$92,FALSE)</f>
        <v>0</v>
      </c>
      <c r="I91" s="482">
        <f>VLOOKUP(B91,TanksMain,Main!$H$756,FALSE)</f>
        <v>0</v>
      </c>
      <c r="J91" s="475" t="s">
        <v>1720</v>
      </c>
      <c r="K91" s="476">
        <f t="shared" si="1"/>
        <v>0</v>
      </c>
    </row>
    <row r="92" spans="2:11">
      <c r="B92" s="481" t="str">
        <f>Main!D627</f>
        <v>#10.179</v>
      </c>
      <c r="C92" s="469" t="str">
        <f>VLOOKUP(B92,TanksMain,Main!$E$756,FALSE)</f>
        <v>Panel, Concrete, Open top, Earth, Single skin, Lined, 1.2 ML</v>
      </c>
      <c r="D92" s="470"/>
      <c r="E92" s="471"/>
      <c r="F92" s="474">
        <f>VLOOKUP($C92,conc_levy_sp_mass_defs,Assumptions!$E$1,FALSE)</f>
        <v>94.096983160321471</v>
      </c>
      <c r="G92" s="477" t="s">
        <v>1719</v>
      </c>
      <c r="H92" s="482">
        <f>VLOOKUP(C92,'Process Facilities User Build'!$B$7:$Y$77,'Process Facilities User Build'!$Y$92,FALSE)</f>
        <v>0</v>
      </c>
      <c r="I92" s="482">
        <f>VLOOKUP(B92,TanksMain,Main!$H$756,FALSE)</f>
        <v>0</v>
      </c>
      <c r="J92" s="475" t="s">
        <v>1720</v>
      </c>
      <c r="K92" s="476">
        <f t="shared" si="1"/>
        <v>0</v>
      </c>
    </row>
    <row r="93" spans="2:11">
      <c r="B93" s="481" t="str">
        <f>Main!D628</f>
        <v>#10.180</v>
      </c>
      <c r="C93" s="469" t="str">
        <f>VLOOKUP(B93,TanksMain,Main!$E$756,FALSE)</f>
        <v>Panel, Concrete, Open top, Earth, Single skin, Lined, 1.9 ML</v>
      </c>
      <c r="D93" s="470"/>
      <c r="E93" s="471"/>
      <c r="F93" s="474">
        <f>VLOOKUP($C93,conc_levy_sp_mass_defs,Assumptions!$E$1,FALSE)</f>
        <v>115.81167158193412</v>
      </c>
      <c r="G93" s="477" t="s">
        <v>1719</v>
      </c>
      <c r="H93" s="482">
        <f>VLOOKUP(C93,'Process Facilities User Build'!$B$7:$Y$77,'Process Facilities User Build'!$Y$92,FALSE)</f>
        <v>0</v>
      </c>
      <c r="I93" s="482">
        <f>VLOOKUP(B93,TanksMain,Main!$H$756,FALSE)</f>
        <v>0</v>
      </c>
      <c r="J93" s="475" t="s">
        <v>1720</v>
      </c>
      <c r="K93" s="476">
        <f t="shared" si="1"/>
        <v>0</v>
      </c>
    </row>
    <row r="94" spans="2:11">
      <c r="B94" s="481" t="str">
        <f>Main!D629</f>
        <v>#10.181</v>
      </c>
      <c r="C94" s="469" t="str">
        <f>VLOOKUP(B94,TanksMain,Main!$E$756,FALSE)</f>
        <v>Panel, Concrete, Open top, Earth, Single skin, Lined, 3.6 ML</v>
      </c>
      <c r="D94" s="470"/>
      <c r="E94" s="471"/>
      <c r="F94" s="474">
        <f>VLOOKUP($C94,conc_levy_sp_mass_defs,Assumptions!$E$1,FALSE)</f>
        <v>168.59042816224266</v>
      </c>
      <c r="G94" s="477" t="s">
        <v>1719</v>
      </c>
      <c r="H94" s="482">
        <f>VLOOKUP(C94,'Process Facilities User Build'!$B$7:$Y$77,'Process Facilities User Build'!$Y$92,FALSE)</f>
        <v>0</v>
      </c>
      <c r="I94" s="482">
        <f>VLOOKUP(B94,TanksMain,Main!$H$756,FALSE)</f>
        <v>0</v>
      </c>
      <c r="J94" s="475" t="s">
        <v>1720</v>
      </c>
      <c r="K94" s="476">
        <f t="shared" si="1"/>
        <v>0</v>
      </c>
    </row>
    <row r="95" spans="2:11">
      <c r="B95" s="481" t="str">
        <f>Main!D630</f>
        <v>#10.182</v>
      </c>
      <c r="C95" s="469" t="str">
        <f>VLOOKUP(B95,TanksMain,Main!$E$756,FALSE)</f>
        <v>Panel, Concrete, Open top, Earth, Single skin, Lined, 5.5 ML</v>
      </c>
      <c r="D95" s="470"/>
      <c r="E95" s="471"/>
      <c r="F95" s="474">
        <f>VLOOKUP($C95,conc_levy_sp_mass_defs,Assumptions!$E$1,FALSE)</f>
        <v>203.48472608419522</v>
      </c>
      <c r="G95" s="477" t="s">
        <v>1719</v>
      </c>
      <c r="H95" s="482">
        <f>VLOOKUP(C95,'Process Facilities User Build'!$B$7:$Y$77,'Process Facilities User Build'!$Y$92,FALSE)</f>
        <v>0</v>
      </c>
      <c r="I95" s="482">
        <f>VLOOKUP(B95,TanksMain,Main!$H$756,FALSE)</f>
        <v>0</v>
      </c>
      <c r="J95" s="475" t="s">
        <v>1720</v>
      </c>
      <c r="K95" s="476">
        <f t="shared" si="1"/>
        <v>0</v>
      </c>
    </row>
    <row r="96" spans="2:11">
      <c r="B96" s="481" t="str">
        <f>Main!D631</f>
        <v>#10.183</v>
      </c>
      <c r="C96" s="469" t="str">
        <f>VLOOKUP(B96,TanksMain,Main!$E$756,FALSE)</f>
        <v>Panel, Concrete, Open top, Earth, Single skin, Lined, 7.6 ML</v>
      </c>
      <c r="D96" s="470"/>
      <c r="E96" s="471"/>
      <c r="F96" s="474">
        <f>VLOOKUP($C96,conc_levy_sp_mass_defs,Assumptions!$E$1,FALSE)</f>
        <v>244.2902447431423</v>
      </c>
      <c r="G96" s="477" t="s">
        <v>1719</v>
      </c>
      <c r="H96" s="482">
        <f>VLOOKUP(C96,'Process Facilities User Build'!$B$7:$Y$77,'Process Facilities User Build'!$Y$92,FALSE)</f>
        <v>0</v>
      </c>
      <c r="I96" s="482">
        <f>VLOOKUP(B96,TanksMain,Main!$H$756,FALSE)</f>
        <v>0</v>
      </c>
      <c r="J96" s="475" t="s">
        <v>1720</v>
      </c>
      <c r="K96" s="476">
        <f t="shared" si="1"/>
        <v>0</v>
      </c>
    </row>
    <row r="97" spans="2:13">
      <c r="B97" s="481" t="str">
        <f>Main!D632</f>
        <v>#10.184</v>
      </c>
      <c r="C97" s="469" t="str">
        <f>VLOOKUP(B97,TanksMain,Main!$E$756,FALSE)</f>
        <v>Panel, Concrete, Open top, Earth, Single skin, Lined, 12 ML</v>
      </c>
      <c r="D97" s="470"/>
      <c r="E97" s="471"/>
      <c r="F97" s="474">
        <f>VLOOKUP($C97,conc_levy_sp_mass_defs,Assumptions!$E$1,FALSE)</f>
        <v>337.78404211397452</v>
      </c>
      <c r="G97" s="477" t="s">
        <v>1719</v>
      </c>
      <c r="H97" s="482">
        <f>VLOOKUP(C97,'Process Facilities User Build'!$B$7:$Y$77,'Process Facilities User Build'!$Y$92,FALSE)</f>
        <v>0</v>
      </c>
      <c r="I97" s="482">
        <f>VLOOKUP(B97,TanksMain,Main!$H$756,FALSE)</f>
        <v>0</v>
      </c>
      <c r="J97" s="475" t="s">
        <v>1720</v>
      </c>
      <c r="K97" s="476">
        <f t="shared" si="1"/>
        <v>0</v>
      </c>
    </row>
    <row r="98" spans="2:13">
      <c r="B98" s="481" t="str">
        <f>Main!D633</f>
        <v>#10.185</v>
      </c>
      <c r="C98" s="469" t="str">
        <f>VLOOKUP(B98,TanksMain,Main!$E$756,FALSE)</f>
        <v>Panel, Concrete, Open top, Earth, Single skin, Lined, 15.5 ML</v>
      </c>
      <c r="D98" s="470"/>
      <c r="E98" s="471"/>
      <c r="F98" s="474">
        <f>VLOOKUP($C98,conc_levy_sp_mass_defs,Assumptions!$E$1,FALSE)</f>
        <v>399.91217843136633</v>
      </c>
      <c r="G98" s="477" t="s">
        <v>1719</v>
      </c>
      <c r="H98" s="482">
        <f>VLOOKUP(C98,'Process Facilities User Build'!$B$7:$Y$77,'Process Facilities User Build'!$Y$92,FALSE)</f>
        <v>0</v>
      </c>
      <c r="I98" s="482">
        <f>VLOOKUP(B98,TanksMain,Main!$H$756,FALSE)</f>
        <v>0</v>
      </c>
      <c r="J98" s="475" t="s">
        <v>1720</v>
      </c>
      <c r="K98" s="476">
        <f t="shared" si="1"/>
        <v>0</v>
      </c>
    </row>
    <row r="99" spans="2:13">
      <c r="B99" s="481" t="str">
        <f>Main!D634</f>
        <v>#10.186</v>
      </c>
      <c r="C99" s="469" t="str">
        <f>VLOOKUP(B99,TanksMain,Main!$E$756,FALSE)</f>
        <v>Panel, Concrete, Open top, Earth, Single skin, Lined, 25 ML</v>
      </c>
      <c r="D99" s="470"/>
      <c r="E99" s="471"/>
      <c r="F99" s="474">
        <f>VLOOKUP($C99,conc_levy_sp_mass_defs,Assumptions!$E$1,FALSE)</f>
        <v>512.70792106585418</v>
      </c>
      <c r="G99" s="477" t="s">
        <v>1719</v>
      </c>
      <c r="H99" s="482">
        <f>VLOOKUP(C99,'Process Facilities User Build'!$B$7:$Y$77,'Process Facilities User Build'!$Y$92,FALSE)</f>
        <v>0</v>
      </c>
      <c r="I99" s="482">
        <f>VLOOKUP(B99,TanksMain,Main!$H$756,FALSE)</f>
        <v>0</v>
      </c>
      <c r="J99" s="475" t="s">
        <v>1720</v>
      </c>
      <c r="K99" s="476">
        <f t="shared" si="1"/>
        <v>0</v>
      </c>
    </row>
    <row r="100" spans="2:13">
      <c r="B100" s="481" t="str">
        <f>Main!D635</f>
        <v>#10.187</v>
      </c>
      <c r="C100" s="469" t="str">
        <f>VLOOKUP(B100,TanksMain,Main!$E$756,FALSE)</f>
        <v>Panel, Concrete, Open top, Earth, Single skin, Lined, 40 ML</v>
      </c>
      <c r="D100" s="470"/>
      <c r="E100" s="471"/>
      <c r="F100" s="474">
        <f>VLOOKUP($C100,conc_levy_sp_mass_defs,Assumptions!$E$1,FALSE)</f>
        <v>640.88490133231778</v>
      </c>
      <c r="G100" s="477" t="s">
        <v>1719</v>
      </c>
      <c r="H100" s="482">
        <f>VLOOKUP(C100,'Process Facilities User Build'!$B$7:$Y$77,'Process Facilities User Build'!$Y$92,FALSE)</f>
        <v>0</v>
      </c>
      <c r="I100" s="482">
        <f>VLOOKUP(B100,TanksMain,Main!$H$756,FALSE)</f>
        <v>0</v>
      </c>
      <c r="J100" s="475" t="s">
        <v>1720</v>
      </c>
      <c r="K100" s="476">
        <f t="shared" si="1"/>
        <v>0</v>
      </c>
    </row>
    <row r="101" spans="2:13">
      <c r="B101" s="481" t="str">
        <f>Main!D636</f>
        <v>#10.188</v>
      </c>
      <c r="C101" s="469" t="str">
        <f>VLOOKUP(B101,TanksMain,Main!$E$756,FALSE)</f>
        <v>Panel, Concrete, Open top, Earth, Single skin, Lined, 50 ML</v>
      </c>
      <c r="D101" s="470"/>
      <c r="E101" s="471"/>
      <c r="F101" s="474">
        <f>VLOOKUP($C101,conc_levy_sp_mass_defs,Assumptions!$E$1,FALSE)</f>
        <v>707.53693107087884</v>
      </c>
      <c r="G101" s="477" t="s">
        <v>1719</v>
      </c>
      <c r="H101" s="482">
        <f>VLOOKUP(C101,'Process Facilities User Build'!$B$7:$Y$77,'Process Facilities User Build'!$Y$92,FALSE)</f>
        <v>0</v>
      </c>
      <c r="I101" s="482">
        <f>VLOOKUP(B101,TanksMain,Main!$H$756,FALSE)</f>
        <v>0</v>
      </c>
      <c r="J101" s="475" t="s">
        <v>1720</v>
      </c>
      <c r="K101" s="476">
        <f t="shared" si="1"/>
        <v>0</v>
      </c>
      <c r="L101" s="483" t="s">
        <v>1721</v>
      </c>
      <c r="M101" s="483" t="s">
        <v>1722</v>
      </c>
    </row>
    <row r="102" spans="2:13">
      <c r="B102" s="315"/>
      <c r="K102" s="200" t="s">
        <v>142</v>
      </c>
      <c r="L102" s="484" t="s">
        <v>1723</v>
      </c>
      <c r="M102" s="484"/>
    </row>
    <row r="103" spans="2:13" ht="15">
      <c r="K103" s="485">
        <f>SUM(K7:K102)</f>
        <v>0</v>
      </c>
      <c r="L103" s="485">
        <f>IF(Registration!D19=Waste_levy_Metro,K103,0)</f>
        <v>0</v>
      </c>
      <c r="M103" s="485">
        <f>IF(Registration!$D$19=Waste_Levy_regional,K103,0)</f>
        <v>0</v>
      </c>
    </row>
    <row r="105" spans="2:13">
      <c r="L105" s="483" t="s">
        <v>1721</v>
      </c>
      <c r="M105" s="483" t="s">
        <v>1722</v>
      </c>
    </row>
    <row r="106" spans="2:13">
      <c r="B106" s="464" t="s">
        <v>1724</v>
      </c>
      <c r="C106" s="465" t="s">
        <v>281</v>
      </c>
      <c r="D106" s="470"/>
      <c r="E106" s="471"/>
      <c r="F106" s="466" t="s">
        <v>248</v>
      </c>
      <c r="G106" s="467" t="s">
        <v>1</v>
      </c>
      <c r="H106" s="464" t="s">
        <v>274</v>
      </c>
      <c r="J106" s="464" t="s">
        <v>1</v>
      </c>
      <c r="K106" s="486" t="s">
        <v>142</v>
      </c>
      <c r="L106" s="484" t="s">
        <v>1723</v>
      </c>
      <c r="M106" s="484"/>
    </row>
    <row r="107" spans="2:13" ht="15">
      <c r="B107" s="487" t="s">
        <v>1725</v>
      </c>
      <c r="C107" s="488" t="str">
        <f>Lists!C282</f>
        <v>Asbestos (ACM)</v>
      </c>
      <c r="D107" s="489"/>
      <c r="E107" s="490"/>
      <c r="F107" s="487">
        <f>HLOOKUP(C107,'Investigation Contamination'!$J$25:$S$38,'Investigation Contamination'!$T$38,FALSE)</f>
        <v>0</v>
      </c>
      <c r="G107" s="491" t="s">
        <v>19</v>
      </c>
      <c r="H107" s="492">
        <v>1</v>
      </c>
      <c r="J107" s="491" t="s">
        <v>1152</v>
      </c>
      <c r="K107" s="493">
        <f>H107*F107</f>
        <v>0</v>
      </c>
      <c r="L107" s="493">
        <f>IF(Registration!$D$19=Waste_levy_Metro,K107,0)</f>
        <v>0</v>
      </c>
      <c r="M107" s="493">
        <f>IF(Registration!$D$19=Waste_Levy_regional,K107,0)</f>
        <v>0</v>
      </c>
    </row>
    <row r="108" spans="2:13" ht="15">
      <c r="B108" s="487" t="s">
        <v>1725</v>
      </c>
      <c r="C108" s="488" t="str">
        <f>Lists!C283</f>
        <v>Asbestos in soil</v>
      </c>
      <c r="D108" s="489"/>
      <c r="E108" s="490"/>
      <c r="F108" s="487">
        <f>HLOOKUP(C108,'Investigation Contamination'!$J$25:$S$38,'Investigation Contamination'!$T$38,FALSE)</f>
        <v>0</v>
      </c>
      <c r="G108" s="491" t="s">
        <v>19</v>
      </c>
      <c r="H108" s="492">
        <v>1</v>
      </c>
      <c r="J108" s="491" t="s">
        <v>1152</v>
      </c>
      <c r="K108" s="493">
        <f t="shared" ref="K108:K110" si="2">H108*F108</f>
        <v>0</v>
      </c>
      <c r="L108" s="493">
        <f>IF(Registration!$D$19=Waste_levy_Metro,K108,0)</f>
        <v>0</v>
      </c>
      <c r="M108" s="493">
        <f>IF(Registration!$D$19=Waste_Levy_regional,K108,0)</f>
        <v>0</v>
      </c>
    </row>
    <row r="109" spans="2:13" ht="15">
      <c r="B109" s="487" t="s">
        <v>1725</v>
      </c>
      <c r="C109" s="488" t="str">
        <f>Lists!C284</f>
        <v>Low Level Petroleum Hydrocarbons in soil</v>
      </c>
      <c r="D109" s="489"/>
      <c r="E109" s="490"/>
      <c r="F109" s="487">
        <f>HLOOKUP(C109,'Investigation Contamination'!$J$25:$S$38,'Investigation Contamination'!$T$38,FALSE)</f>
        <v>0</v>
      </c>
      <c r="G109" s="491" t="s">
        <v>19</v>
      </c>
      <c r="H109" s="492">
        <v>1</v>
      </c>
      <c r="J109" s="491" t="s">
        <v>1152</v>
      </c>
      <c r="K109" s="493">
        <f t="shared" si="2"/>
        <v>0</v>
      </c>
      <c r="L109" s="493">
        <f>IF(Registration!$D$19=Waste_levy_Metro,K109,0)</f>
        <v>0</v>
      </c>
      <c r="M109" s="493">
        <f>IF(Registration!$D$19=Waste_Levy_regional,K109,0)</f>
        <v>0</v>
      </c>
    </row>
    <row r="110" spans="2:13" ht="15">
      <c r="B110" s="487" t="s">
        <v>1725</v>
      </c>
      <c r="C110" s="488" t="str">
        <f>Lists!C285</f>
        <v>High Level Petroleum Hydrocarbons in soil</v>
      </c>
      <c r="D110" s="489"/>
      <c r="E110" s="490"/>
      <c r="F110" s="487">
        <f>HLOOKUP(C110,'Investigation Contamination'!$J$25:$S$38,'Investigation Contamination'!$T$38,FALSE)</f>
        <v>0</v>
      </c>
      <c r="G110" s="491" t="s">
        <v>19</v>
      </c>
      <c r="H110" s="492">
        <v>1</v>
      </c>
      <c r="J110" s="491" t="s">
        <v>1152</v>
      </c>
      <c r="K110" s="493">
        <f t="shared" si="2"/>
        <v>0</v>
      </c>
      <c r="L110" s="493">
        <f>IF(Registration!$D$19=Waste_levy_Metro,K110,0)</f>
        <v>0</v>
      </c>
      <c r="M110" s="493">
        <f>IF(Registration!$D$19=Waste_Levy_regional,K110,0)</f>
        <v>0</v>
      </c>
    </row>
    <row r="111" spans="2:13" ht="15">
      <c r="B111" s="487" t="s">
        <v>1725</v>
      </c>
      <c r="C111" s="488" t="str">
        <f>Lists!C286</f>
        <v>Low level inorganics in soil</v>
      </c>
      <c r="D111" s="489"/>
      <c r="E111" s="490"/>
      <c r="F111" s="487">
        <f>HLOOKUP(C111,'Investigation Contamination'!$J$25:$S$38,'Investigation Contamination'!$T$38,FALSE)</f>
        <v>0</v>
      </c>
      <c r="G111" s="491" t="s">
        <v>19</v>
      </c>
      <c r="H111" s="492">
        <v>1</v>
      </c>
      <c r="J111" s="491" t="s">
        <v>1152</v>
      </c>
      <c r="K111" s="493">
        <f t="shared" ref="K111:K112" si="3">H111*F111</f>
        <v>0</v>
      </c>
      <c r="L111" s="493">
        <f>IF(Registration!$D$19=Waste_levy_Metro,K111,0)</f>
        <v>0</v>
      </c>
      <c r="M111" s="493">
        <f>IF(Registration!$D$19=Waste_Levy_regional,K111,0)</f>
        <v>0</v>
      </c>
    </row>
    <row r="112" spans="2:13" ht="15">
      <c r="B112" s="487" t="s">
        <v>1725</v>
      </c>
      <c r="C112" s="488" t="str">
        <f>Lists!C287</f>
        <v>High level inorganics in soil</v>
      </c>
      <c r="D112" s="489"/>
      <c r="E112" s="490"/>
      <c r="F112" s="487">
        <f>HLOOKUP(C112,'Investigation Contamination'!$J$25:$S$38,'Investigation Contamination'!$T$38,FALSE)</f>
        <v>0</v>
      </c>
      <c r="G112" s="491" t="s">
        <v>19</v>
      </c>
      <c r="H112" s="492">
        <v>1</v>
      </c>
      <c r="J112" s="491" t="s">
        <v>1152</v>
      </c>
      <c r="K112" s="493">
        <f t="shared" si="3"/>
        <v>0</v>
      </c>
      <c r="L112" s="493">
        <f>IF(Registration!$D$19=Waste_levy_Metro,K112,0)</f>
        <v>0</v>
      </c>
      <c r="M112" s="493">
        <f>IF(Registration!$D$19=Waste_Levy_regional,K112,0)</f>
        <v>0</v>
      </c>
    </row>
    <row r="113" spans="2:13" ht="15">
      <c r="B113" s="487" t="s">
        <v>1725</v>
      </c>
      <c r="C113" s="488" t="str">
        <f>Lists!C288</f>
        <v>General Waste</v>
      </c>
      <c r="D113" s="489"/>
      <c r="E113" s="490"/>
      <c r="F113" s="487">
        <f>HLOOKUP(C113,'Investigation Contamination'!$J$25:$S$38,'Investigation Contamination'!$T$38,FALSE)</f>
        <v>0</v>
      </c>
      <c r="G113" s="491" t="s">
        <v>19</v>
      </c>
      <c r="H113" s="492">
        <v>1</v>
      </c>
      <c r="J113" s="491" t="s">
        <v>1152</v>
      </c>
      <c r="K113" s="493">
        <f t="shared" ref="K113:K115" si="4">H113*F113</f>
        <v>0</v>
      </c>
      <c r="L113" s="493">
        <f>IF(Registration!$D$19=Waste_levy_Metro,K113,0)</f>
        <v>0</v>
      </c>
      <c r="M113" s="493">
        <f>IF(Registration!$D$19=Waste_Levy_regional,K113,0)</f>
        <v>0</v>
      </c>
    </row>
    <row r="114" spans="2:13" ht="15">
      <c r="B114" s="487" t="s">
        <v>1725</v>
      </c>
      <c r="C114" s="488" t="str">
        <f>Lists!C289</f>
        <v>Construction / building waste</v>
      </c>
      <c r="D114" s="489"/>
      <c r="E114" s="490"/>
      <c r="F114" s="487">
        <f>HLOOKUP(C114,'Investigation Contamination'!$J$25:$S$38,'Investigation Contamination'!$T$38,FALSE)</f>
        <v>0</v>
      </c>
      <c r="G114" s="491" t="s">
        <v>19</v>
      </c>
      <c r="H114" s="492">
        <v>1</v>
      </c>
      <c r="J114" s="491" t="s">
        <v>1152</v>
      </c>
      <c r="K114" s="493">
        <f t="shared" si="4"/>
        <v>0</v>
      </c>
      <c r="L114" s="493">
        <f>IF(Registration!$D$19=Waste_levy_Metro,K114,0)</f>
        <v>0</v>
      </c>
      <c r="M114" s="493">
        <f>IF(Registration!$D$19=Waste_Levy_regional,K114,0)</f>
        <v>0</v>
      </c>
    </row>
    <row r="115" spans="2:13" ht="15">
      <c r="B115" s="487" t="s">
        <v>1725</v>
      </c>
      <c r="C115" s="488" t="str">
        <f>Lists!C290</f>
        <v>Regulated waste (e.g. tires and belts)</v>
      </c>
      <c r="D115" s="489"/>
      <c r="E115" s="490"/>
      <c r="F115" s="487">
        <f>HLOOKUP(C115,'Investigation Contamination'!$J$25:$S$38,'Investigation Contamination'!$T$38,FALSE)</f>
        <v>0</v>
      </c>
      <c r="G115" s="491" t="s">
        <v>19</v>
      </c>
      <c r="H115" s="492">
        <v>1</v>
      </c>
      <c r="J115" s="491" t="s">
        <v>1152</v>
      </c>
      <c r="K115" s="493">
        <f t="shared" si="4"/>
        <v>0</v>
      </c>
      <c r="L115" s="493">
        <f>IF(Registration!$D$19=Waste_levy_Metro,K115,0)</f>
        <v>0</v>
      </c>
      <c r="M115" s="493">
        <f>IF(Registration!$D$19=Waste_Levy_regional,K115,0)</f>
        <v>0</v>
      </c>
    </row>
  </sheetData>
  <sheetProtection algorithmName="SHA-512" hashValue="aeYbVYQV0BcqKNyzXCWGSFlimlZDZzFPiFv92FhMgv1ZC9aPUu5uYVeo9exIPXryyf/sxm2Q7KTqUfZYWFrPGA==" saltValue="EmeKWFL50No6ReWBCn71LA==" spinCount="100000" sheet="1" objects="1" scenarios="1" autoFilter="0"/>
  <phoneticPr fontId="96" type="noConversion"/>
  <hyperlinks>
    <hyperlink ref="B3" location="CONTENTS" display="Contents" xr:uid="{01777841-37F9-4C82-B55C-37253B236994}"/>
  </hyperlink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B1818-AC9B-4B1A-8B9D-CC00027466E9}">
  <sheetPr codeName="Sheet10">
    <tabColor theme="9" tint="-0.499984740745262"/>
  </sheetPr>
  <dimension ref="B2:G10"/>
  <sheetViews>
    <sheetView showGridLines="0" workbookViewId="0"/>
  </sheetViews>
  <sheetFormatPr defaultColWidth="9" defaultRowHeight="12.75"/>
  <sheetData>
    <row r="2" spans="2:7" ht="15.75">
      <c r="G2" s="278"/>
    </row>
    <row r="10" spans="2:7">
      <c r="B10" s="20" t="s">
        <v>305</v>
      </c>
    </row>
  </sheetData>
  <sheetProtection algorithmName="SHA-512" hashValue="C4LPAX7TjkjQMkTg9uQGT1NG5AOnUqoOhfy+HZB+VfaD9Tdx5JiTvoxOULCdqV+OWBt8FQppVmVZ3qzDP25E0Q==" saltValue="9SjOfzkhr0TjDTxIw1/zZQ==" spinCount="100000" sheet="1" objects="1" scenarios="1" autoFilter="0"/>
  <hyperlinks>
    <hyperlink ref="B10" location="CONTENTS" display="Contents" xr:uid="{FFAAE19D-E87E-4A73-8C87-932EE1453918}"/>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C6BC-C902-408D-9F4F-B8239E5316C1}">
  <sheetPr codeName="Sheet50">
    <tabColor theme="9" tint="-0.499984740745262"/>
  </sheetPr>
  <dimension ref="A2:AF115"/>
  <sheetViews>
    <sheetView showGridLines="0" zoomScaleNormal="100" zoomScaleSheetLayoutView="100" workbookViewId="0">
      <pane xSplit="4" ySplit="4" topLeftCell="E5" activePane="bottomRight" state="frozen"/>
      <selection pane="topRight" activeCell="E31" sqref="E31"/>
      <selection pane="bottomLeft" activeCell="E31" sqref="E31"/>
      <selection pane="bottomRight"/>
    </sheetView>
  </sheetViews>
  <sheetFormatPr defaultColWidth="9" defaultRowHeight="12"/>
  <cols>
    <col min="1" max="1" width="2" style="494" customWidth="1"/>
    <col min="2" max="2" width="2.5703125" style="494" bestFit="1" customWidth="1"/>
    <col min="3" max="3" width="9.42578125" style="494" customWidth="1"/>
    <col min="4" max="4" width="37.42578125" style="494" customWidth="1"/>
    <col min="5" max="14" width="18.5703125" style="497" customWidth="1"/>
    <col min="15" max="30" width="18.5703125" style="494" customWidth="1"/>
    <col min="31" max="36" width="16.5703125" style="494" customWidth="1"/>
    <col min="37" max="16384" width="9" style="494"/>
  </cols>
  <sheetData>
    <row r="2" spans="2:17" ht="16.350000000000001" customHeight="1">
      <c r="C2" s="495" t="str">
        <f>CONTENTS!B2</f>
        <v>Petroleum and Gas Estimated Rehabilitation Cost Calculator</v>
      </c>
      <c r="D2" s="496"/>
      <c r="O2" s="497"/>
      <c r="P2" s="497"/>
    </row>
    <row r="3" spans="2:17" ht="20.100000000000001" customHeight="1">
      <c r="C3" s="20" t="s">
        <v>305</v>
      </c>
      <c r="D3" s="498" t="s">
        <v>318</v>
      </c>
      <c r="E3" s="499"/>
      <c r="M3" s="494"/>
      <c r="O3" s="497"/>
      <c r="P3" s="497"/>
    </row>
    <row r="4" spans="2:17" ht="18" customHeight="1">
      <c r="B4" s="500"/>
      <c r="C4" s="501" t="s">
        <v>1726</v>
      </c>
      <c r="D4" s="502">
        <f>ERC</f>
        <v>0</v>
      </c>
      <c r="F4" s="503"/>
      <c r="H4" s="504"/>
      <c r="I4" s="504"/>
      <c r="J4" s="504"/>
      <c r="K4" s="504"/>
      <c r="L4" s="504"/>
      <c r="M4" s="504"/>
      <c r="P4" s="505"/>
    </row>
    <row r="5" spans="2:17" ht="18" customHeight="1">
      <c r="B5" s="500"/>
      <c r="C5" s="503"/>
      <c r="D5" s="506" t="s">
        <v>1727</v>
      </c>
      <c r="E5" s="503"/>
      <c r="F5" s="503"/>
      <c r="G5" s="503"/>
      <c r="H5" s="503"/>
      <c r="I5" s="504"/>
      <c r="J5" s="504"/>
      <c r="K5" s="504"/>
      <c r="L5" s="504"/>
      <c r="M5" s="504"/>
    </row>
    <row r="6" spans="2:17" ht="18" customHeight="1">
      <c r="B6" s="500"/>
      <c r="D6" s="507" t="s">
        <v>1728</v>
      </c>
      <c r="E6" s="508"/>
      <c r="F6" s="508"/>
      <c r="G6" s="500"/>
      <c r="H6" s="500"/>
      <c r="I6" s="500"/>
      <c r="J6" s="500"/>
      <c r="K6" s="500"/>
      <c r="L6" s="500"/>
      <c r="M6" s="500"/>
      <c r="P6" s="505"/>
      <c r="Q6" s="500"/>
    </row>
    <row r="7" spans="2:17" ht="96">
      <c r="C7" s="509" t="s">
        <v>439</v>
      </c>
      <c r="D7" s="509" t="s">
        <v>1729</v>
      </c>
      <c r="E7" s="509" t="s">
        <v>1730</v>
      </c>
      <c r="F7" s="509" t="s">
        <v>1731</v>
      </c>
      <c r="G7" s="509" t="s">
        <v>1732</v>
      </c>
      <c r="H7" s="509" t="s">
        <v>1733</v>
      </c>
      <c r="I7" s="509" t="s">
        <v>1734</v>
      </c>
      <c r="J7" s="509" t="s">
        <v>1735</v>
      </c>
      <c r="K7" s="509" t="s">
        <v>1736</v>
      </c>
      <c r="L7" s="509" t="s">
        <v>1737</v>
      </c>
      <c r="M7" s="500"/>
      <c r="N7" s="510">
        <v>1</v>
      </c>
    </row>
    <row r="8" spans="2:17" ht="18" customHeight="1">
      <c r="E8" s="53" t="s">
        <v>119</v>
      </c>
      <c r="F8" s="53" t="s">
        <v>119</v>
      </c>
      <c r="G8" s="53" t="s">
        <v>119</v>
      </c>
      <c r="H8" s="53" t="s">
        <v>119</v>
      </c>
      <c r="I8" s="53" t="s">
        <v>119</v>
      </c>
      <c r="J8" s="53" t="s">
        <v>100</v>
      </c>
      <c r="K8" s="53" t="s">
        <v>119</v>
      </c>
      <c r="L8" s="53" t="s">
        <v>119</v>
      </c>
      <c r="M8" s="500"/>
      <c r="N8" s="510">
        <f>N7+1</f>
        <v>2</v>
      </c>
      <c r="P8" s="505"/>
      <c r="Q8" s="500"/>
    </row>
    <row r="9" spans="2:17" ht="12.75">
      <c r="B9" s="511">
        <v>1</v>
      </c>
      <c r="C9" s="137"/>
      <c r="D9" s="140"/>
      <c r="E9" s="55"/>
      <c r="F9" s="55"/>
      <c r="G9" s="55"/>
      <c r="H9" s="55"/>
      <c r="I9" s="55"/>
      <c r="J9" s="55"/>
      <c r="K9" s="55"/>
      <c r="L9" s="55"/>
      <c r="M9" s="500"/>
      <c r="N9" s="510">
        <f t="shared" ref="N9:N20" si="0">N8+1</f>
        <v>3</v>
      </c>
    </row>
    <row r="10" spans="2:17" ht="12.75">
      <c r="B10" s="511">
        <f t="shared" ref="B10:B18" si="1">B9+1</f>
        <v>2</v>
      </c>
      <c r="C10" s="137"/>
      <c r="D10" s="140"/>
      <c r="E10" s="55"/>
      <c r="F10" s="55"/>
      <c r="G10" s="55"/>
      <c r="H10" s="55"/>
      <c r="I10" s="55"/>
      <c r="J10" s="55"/>
      <c r="K10" s="55"/>
      <c r="L10" s="55"/>
      <c r="M10" s="500"/>
      <c r="N10" s="510">
        <f t="shared" si="0"/>
        <v>4</v>
      </c>
      <c r="P10" s="505"/>
      <c r="Q10" s="500"/>
    </row>
    <row r="11" spans="2:17" ht="12.75">
      <c r="B11" s="511">
        <f t="shared" si="1"/>
        <v>3</v>
      </c>
      <c r="C11" s="137"/>
      <c r="D11" s="140"/>
      <c r="E11" s="55"/>
      <c r="F11" s="55"/>
      <c r="G11" s="55"/>
      <c r="H11" s="55"/>
      <c r="I11" s="55"/>
      <c r="J11" s="55"/>
      <c r="K11" s="55"/>
      <c r="L11" s="55"/>
      <c r="M11" s="500"/>
      <c r="N11" s="510">
        <f t="shared" si="0"/>
        <v>5</v>
      </c>
    </row>
    <row r="12" spans="2:17" ht="12.75">
      <c r="B12" s="511">
        <f t="shared" si="1"/>
        <v>4</v>
      </c>
      <c r="C12" s="137"/>
      <c r="D12" s="140"/>
      <c r="E12" s="55"/>
      <c r="F12" s="55"/>
      <c r="G12" s="55"/>
      <c r="H12" s="55"/>
      <c r="I12" s="55"/>
      <c r="J12" s="55"/>
      <c r="K12" s="55"/>
      <c r="L12" s="55"/>
      <c r="M12" s="500"/>
      <c r="N12" s="510">
        <f t="shared" si="0"/>
        <v>6</v>
      </c>
      <c r="P12" s="505"/>
      <c r="Q12" s="500"/>
    </row>
    <row r="13" spans="2:17" ht="12.75">
      <c r="B13" s="511">
        <f t="shared" si="1"/>
        <v>5</v>
      </c>
      <c r="C13" s="137"/>
      <c r="D13" s="140"/>
      <c r="E13" s="55"/>
      <c r="F13" s="55"/>
      <c r="G13" s="55"/>
      <c r="H13" s="55"/>
      <c r="I13" s="55"/>
      <c r="J13" s="55"/>
      <c r="K13" s="55"/>
      <c r="L13" s="55"/>
      <c r="M13" s="500"/>
      <c r="N13" s="510">
        <f t="shared" si="0"/>
        <v>7</v>
      </c>
    </row>
    <row r="14" spans="2:17" ht="12.75">
      <c r="B14" s="511">
        <f t="shared" si="1"/>
        <v>6</v>
      </c>
      <c r="C14" s="137"/>
      <c r="D14" s="140"/>
      <c r="E14" s="55"/>
      <c r="F14" s="55"/>
      <c r="G14" s="55"/>
      <c r="H14" s="55"/>
      <c r="I14" s="55"/>
      <c r="J14" s="55"/>
      <c r="K14" s="55"/>
      <c r="L14" s="55"/>
      <c r="M14" s="500"/>
      <c r="N14" s="510">
        <f t="shared" si="0"/>
        <v>8</v>
      </c>
      <c r="P14" s="505"/>
      <c r="Q14" s="500"/>
    </row>
    <row r="15" spans="2:17" ht="12.75">
      <c r="B15" s="511">
        <f t="shared" si="1"/>
        <v>7</v>
      </c>
      <c r="C15" s="137"/>
      <c r="D15" s="140"/>
      <c r="E15" s="55"/>
      <c r="F15" s="55"/>
      <c r="G15" s="55"/>
      <c r="H15" s="55"/>
      <c r="I15" s="55"/>
      <c r="J15" s="55"/>
      <c r="K15" s="55"/>
      <c r="L15" s="55"/>
      <c r="M15" s="500"/>
      <c r="N15" s="510">
        <f t="shared" si="0"/>
        <v>9</v>
      </c>
    </row>
    <row r="16" spans="2:17" ht="12.75">
      <c r="B16" s="511">
        <f t="shared" si="1"/>
        <v>8</v>
      </c>
      <c r="C16" s="137"/>
      <c r="D16" s="140"/>
      <c r="E16" s="55"/>
      <c r="F16" s="55"/>
      <c r="G16" s="55"/>
      <c r="H16" s="55"/>
      <c r="I16" s="55"/>
      <c r="J16" s="55"/>
      <c r="K16" s="55"/>
      <c r="L16" s="55"/>
      <c r="M16" s="500"/>
      <c r="N16" s="510">
        <f t="shared" si="0"/>
        <v>10</v>
      </c>
      <c r="P16" s="505"/>
      <c r="Q16" s="500"/>
    </row>
    <row r="17" spans="2:31" ht="12.75">
      <c r="B17" s="511">
        <f t="shared" si="1"/>
        <v>9</v>
      </c>
      <c r="C17" s="137"/>
      <c r="D17" s="140"/>
      <c r="E17" s="55"/>
      <c r="F17" s="55"/>
      <c r="G17" s="55"/>
      <c r="H17" s="55"/>
      <c r="I17" s="55"/>
      <c r="J17" s="55"/>
      <c r="K17" s="55"/>
      <c r="L17" s="55"/>
      <c r="M17" s="500"/>
      <c r="N17" s="510">
        <f t="shared" si="0"/>
        <v>11</v>
      </c>
    </row>
    <row r="18" spans="2:31" ht="12.75">
      <c r="B18" s="511">
        <f t="shared" si="1"/>
        <v>10</v>
      </c>
      <c r="C18" s="137"/>
      <c r="D18" s="140"/>
      <c r="E18" s="55"/>
      <c r="F18" s="55"/>
      <c r="G18" s="55"/>
      <c r="H18" s="55"/>
      <c r="I18" s="55"/>
      <c r="J18" s="55"/>
      <c r="K18" s="55"/>
      <c r="L18" s="55"/>
      <c r="M18" s="500"/>
      <c r="N18" s="510">
        <f t="shared" si="0"/>
        <v>12</v>
      </c>
      <c r="P18" s="505"/>
      <c r="Q18" s="500"/>
    </row>
    <row r="19" spans="2:31" ht="18" customHeight="1">
      <c r="E19" s="512"/>
      <c r="F19" s="512"/>
      <c r="G19" s="512"/>
      <c r="H19" s="512"/>
      <c r="I19" s="512"/>
      <c r="J19" s="512"/>
      <c r="K19" s="512"/>
      <c r="L19" s="512"/>
      <c r="M19" s="500"/>
      <c r="N19" s="510">
        <f t="shared" si="0"/>
        <v>13</v>
      </c>
    </row>
    <row r="20" spans="2:31" ht="18" customHeight="1">
      <c r="B20" s="511"/>
      <c r="C20" s="511"/>
      <c r="D20" s="513" t="s">
        <v>1738</v>
      </c>
      <c r="E20" s="514">
        <f>SUM(E8:E19)</f>
        <v>0</v>
      </c>
      <c r="F20" s="514">
        <f t="shared" ref="F20:L20" si="2">SUM(F8:F19)</f>
        <v>0</v>
      </c>
      <c r="G20" s="514">
        <f t="shared" si="2"/>
        <v>0</v>
      </c>
      <c r="H20" s="514">
        <f t="shared" si="2"/>
        <v>0</v>
      </c>
      <c r="I20" s="514">
        <f t="shared" si="2"/>
        <v>0</v>
      </c>
      <c r="J20" s="514">
        <f t="shared" si="2"/>
        <v>0</v>
      </c>
      <c r="K20" s="514">
        <f t="shared" si="2"/>
        <v>0</v>
      </c>
      <c r="L20" s="514">
        <f t="shared" si="2"/>
        <v>0</v>
      </c>
      <c r="M20" s="500"/>
      <c r="N20" s="510">
        <f t="shared" si="0"/>
        <v>14</v>
      </c>
      <c r="P20" s="505"/>
      <c r="Q20" s="500"/>
    </row>
    <row r="21" spans="2:31" ht="18" customHeight="1">
      <c r="B21" s="500"/>
      <c r="C21" s="503"/>
      <c r="D21" s="503"/>
      <c r="E21" s="503"/>
      <c r="F21" s="503"/>
      <c r="G21" s="503"/>
      <c r="H21" s="503"/>
      <c r="I21" s="504"/>
      <c r="J21" s="504"/>
      <c r="K21" s="504"/>
      <c r="L21" s="504"/>
      <c r="M21" s="504"/>
    </row>
    <row r="22" spans="2:31" ht="18" customHeight="1">
      <c r="E22" s="494"/>
      <c r="O22" s="497"/>
    </row>
    <row r="23" spans="2:31" ht="18" customHeight="1">
      <c r="B23" s="500"/>
      <c r="C23" s="20" t="s">
        <v>77</v>
      </c>
      <c r="D23" s="507" t="s">
        <v>1739</v>
      </c>
      <c r="E23" s="494"/>
      <c r="F23" s="494"/>
      <c r="G23" s="494"/>
      <c r="H23" s="494"/>
      <c r="I23" s="494"/>
      <c r="J23" s="494"/>
      <c r="K23" s="494"/>
      <c r="L23" s="494"/>
      <c r="M23" s="494"/>
      <c r="N23" s="494"/>
      <c r="P23" s="505"/>
    </row>
    <row r="24" spans="2:31" ht="72">
      <c r="C24" s="509" t="s">
        <v>439</v>
      </c>
      <c r="D24" s="509" t="s">
        <v>1729</v>
      </c>
      <c r="E24" s="509" t="s">
        <v>1740</v>
      </c>
      <c r="F24" s="509" t="s">
        <v>1741</v>
      </c>
      <c r="G24" s="509" t="s">
        <v>1742</v>
      </c>
      <c r="H24" s="509" t="s">
        <v>1743</v>
      </c>
      <c r="I24" s="509" t="s">
        <v>1744</v>
      </c>
      <c r="J24" s="494"/>
      <c r="K24" s="510">
        <v>1</v>
      </c>
      <c r="L24" s="494"/>
      <c r="M24" s="494"/>
      <c r="N24" s="494"/>
      <c r="T24" s="515"/>
      <c r="U24" s="515"/>
      <c r="V24" s="515"/>
      <c r="W24" s="515"/>
      <c r="X24" s="515"/>
      <c r="Y24" s="515"/>
      <c r="Z24" s="515"/>
      <c r="AA24" s="515"/>
      <c r="AB24" s="515"/>
      <c r="AC24" s="515"/>
      <c r="AD24" s="515"/>
      <c r="AE24" s="515"/>
    </row>
    <row r="25" spans="2:31" ht="18" customHeight="1">
      <c r="E25" s="53" t="s">
        <v>119</v>
      </c>
      <c r="F25" s="53" t="s">
        <v>79</v>
      </c>
      <c r="G25" s="53" t="s">
        <v>79</v>
      </c>
      <c r="H25" s="53" t="s">
        <v>79</v>
      </c>
      <c r="I25" s="53" t="s">
        <v>88</v>
      </c>
      <c r="J25" s="494"/>
      <c r="K25" s="510">
        <f>K24+1</f>
        <v>2</v>
      </c>
      <c r="L25" s="494"/>
      <c r="M25" s="494"/>
      <c r="N25" s="494"/>
      <c r="T25" s="515"/>
      <c r="U25" s="515"/>
      <c r="V25" s="515"/>
      <c r="W25" s="515"/>
      <c r="X25" s="515"/>
      <c r="Y25" s="515"/>
      <c r="Z25" s="515"/>
      <c r="AA25" s="515"/>
      <c r="AB25" s="515"/>
      <c r="AC25" s="515"/>
      <c r="AD25" s="515"/>
      <c r="AE25" s="515"/>
    </row>
    <row r="26" spans="2:31" ht="12.75">
      <c r="B26" s="511">
        <v>1</v>
      </c>
      <c r="C26" s="137"/>
      <c r="D26" s="140"/>
      <c r="E26" s="55"/>
      <c r="F26" s="55"/>
      <c r="G26" s="55"/>
      <c r="H26" s="117"/>
      <c r="I26" s="55"/>
      <c r="J26" s="494"/>
      <c r="K26" s="510">
        <f t="shared" ref="K26:K37" si="3">K25+1</f>
        <v>3</v>
      </c>
      <c r="L26" s="494"/>
      <c r="M26" s="494"/>
      <c r="N26" s="494"/>
      <c r="T26" s="515"/>
      <c r="U26" s="515"/>
      <c r="V26" s="515"/>
      <c r="W26" s="515"/>
      <c r="X26" s="515"/>
      <c r="Y26" s="515"/>
      <c r="Z26" s="515"/>
      <c r="AA26" s="515"/>
      <c r="AB26" s="515"/>
      <c r="AC26" s="515"/>
      <c r="AD26" s="515"/>
      <c r="AE26" s="515"/>
    </row>
    <row r="27" spans="2:31" ht="12.75">
      <c r="B27" s="511">
        <f t="shared" ref="B27:B35" si="4">B26+1</f>
        <v>2</v>
      </c>
      <c r="C27" s="137"/>
      <c r="D27" s="140"/>
      <c r="E27" s="55"/>
      <c r="F27" s="55"/>
      <c r="G27" s="55"/>
      <c r="H27" s="117"/>
      <c r="I27" s="55"/>
      <c r="J27" s="494"/>
      <c r="K27" s="510">
        <f t="shared" si="3"/>
        <v>4</v>
      </c>
      <c r="L27" s="494"/>
      <c r="M27" s="494"/>
      <c r="N27" s="494"/>
      <c r="T27" s="515"/>
      <c r="U27" s="515"/>
      <c r="V27" s="515"/>
      <c r="W27" s="515"/>
      <c r="X27" s="515"/>
      <c r="Y27" s="515"/>
      <c r="Z27" s="515"/>
      <c r="AA27" s="515"/>
      <c r="AB27" s="515"/>
      <c r="AC27" s="515"/>
      <c r="AD27" s="515"/>
      <c r="AE27" s="515"/>
    </row>
    <row r="28" spans="2:31" ht="12.75">
      <c r="B28" s="511">
        <f t="shared" si="4"/>
        <v>3</v>
      </c>
      <c r="C28" s="137"/>
      <c r="D28" s="140"/>
      <c r="E28" s="55"/>
      <c r="F28" s="55"/>
      <c r="G28" s="55"/>
      <c r="H28" s="117"/>
      <c r="I28" s="55"/>
      <c r="J28" s="494"/>
      <c r="K28" s="510">
        <f t="shared" si="3"/>
        <v>5</v>
      </c>
      <c r="L28" s="494"/>
      <c r="M28" s="494"/>
      <c r="N28" s="494"/>
      <c r="T28" s="515"/>
      <c r="U28" s="515"/>
      <c r="V28" s="515"/>
      <c r="W28" s="515"/>
      <c r="X28" s="515"/>
      <c r="Y28" s="515"/>
      <c r="Z28" s="515"/>
      <c r="AA28" s="515"/>
      <c r="AB28" s="515"/>
      <c r="AC28" s="515"/>
      <c r="AD28" s="515"/>
      <c r="AE28" s="515"/>
    </row>
    <row r="29" spans="2:31" ht="12.75">
      <c r="B29" s="511">
        <f t="shared" si="4"/>
        <v>4</v>
      </c>
      <c r="C29" s="137"/>
      <c r="D29" s="140"/>
      <c r="E29" s="55"/>
      <c r="F29" s="55"/>
      <c r="G29" s="55"/>
      <c r="H29" s="117"/>
      <c r="I29" s="55"/>
      <c r="J29" s="494"/>
      <c r="K29" s="510">
        <f t="shared" si="3"/>
        <v>6</v>
      </c>
      <c r="L29" s="494"/>
      <c r="M29" s="494"/>
      <c r="N29" s="494"/>
      <c r="T29" s="515"/>
      <c r="U29" s="515"/>
      <c r="V29" s="515"/>
      <c r="W29" s="515"/>
      <c r="X29" s="515"/>
      <c r="Y29" s="515"/>
      <c r="Z29" s="515"/>
      <c r="AA29" s="515"/>
      <c r="AB29" s="515"/>
      <c r="AC29" s="515"/>
      <c r="AD29" s="515"/>
      <c r="AE29" s="515"/>
    </row>
    <row r="30" spans="2:31" ht="12.75">
      <c r="B30" s="511">
        <f t="shared" si="4"/>
        <v>5</v>
      </c>
      <c r="C30" s="137"/>
      <c r="D30" s="140"/>
      <c r="E30" s="55"/>
      <c r="F30" s="55"/>
      <c r="G30" s="55"/>
      <c r="H30" s="117"/>
      <c r="I30" s="55"/>
      <c r="J30" s="494"/>
      <c r="K30" s="510">
        <f t="shared" si="3"/>
        <v>7</v>
      </c>
      <c r="L30" s="494"/>
      <c r="M30" s="494"/>
      <c r="N30" s="494"/>
      <c r="T30" s="515"/>
      <c r="U30" s="515"/>
      <c r="V30" s="515"/>
      <c r="W30" s="515"/>
      <c r="X30" s="515"/>
      <c r="Y30" s="515"/>
      <c r="Z30" s="515"/>
      <c r="AA30" s="515"/>
      <c r="AB30" s="515"/>
      <c r="AC30" s="515"/>
      <c r="AD30" s="515"/>
      <c r="AE30" s="515"/>
    </row>
    <row r="31" spans="2:31" ht="12.75">
      <c r="B31" s="511">
        <f t="shared" si="4"/>
        <v>6</v>
      </c>
      <c r="C31" s="137"/>
      <c r="D31" s="140"/>
      <c r="E31" s="55"/>
      <c r="F31" s="55"/>
      <c r="G31" s="55"/>
      <c r="H31" s="117"/>
      <c r="I31" s="55"/>
      <c r="J31" s="494"/>
      <c r="K31" s="510">
        <f t="shared" si="3"/>
        <v>8</v>
      </c>
      <c r="L31" s="494"/>
      <c r="M31" s="494"/>
      <c r="N31" s="494"/>
      <c r="T31" s="515"/>
      <c r="U31" s="515"/>
      <c r="V31" s="515"/>
      <c r="W31" s="515"/>
      <c r="X31" s="515"/>
      <c r="Y31" s="515"/>
      <c r="Z31" s="515"/>
      <c r="AA31" s="515"/>
      <c r="AB31" s="515"/>
      <c r="AC31" s="515"/>
      <c r="AD31" s="515"/>
      <c r="AE31" s="515"/>
    </row>
    <row r="32" spans="2:31" ht="12.75">
      <c r="B32" s="511">
        <f t="shared" si="4"/>
        <v>7</v>
      </c>
      <c r="C32" s="137"/>
      <c r="D32" s="140"/>
      <c r="E32" s="55"/>
      <c r="F32" s="55"/>
      <c r="G32" s="55"/>
      <c r="H32" s="117"/>
      <c r="I32" s="55"/>
      <c r="J32" s="494"/>
      <c r="K32" s="510">
        <f t="shared" si="3"/>
        <v>9</v>
      </c>
      <c r="L32" s="494"/>
      <c r="M32" s="494"/>
      <c r="N32" s="494"/>
      <c r="T32" s="515"/>
      <c r="U32" s="515"/>
      <c r="V32" s="515"/>
      <c r="W32" s="515"/>
      <c r="X32" s="515"/>
      <c r="Y32" s="515"/>
      <c r="Z32" s="515"/>
      <c r="AA32" s="515"/>
      <c r="AB32" s="515"/>
      <c r="AC32" s="515"/>
      <c r="AD32" s="515"/>
      <c r="AE32" s="515"/>
    </row>
    <row r="33" spans="2:31" ht="12.75">
      <c r="B33" s="511">
        <f t="shared" si="4"/>
        <v>8</v>
      </c>
      <c r="C33" s="137"/>
      <c r="D33" s="140"/>
      <c r="E33" s="55"/>
      <c r="F33" s="55"/>
      <c r="G33" s="55"/>
      <c r="H33" s="117"/>
      <c r="I33" s="55"/>
      <c r="J33" s="494"/>
      <c r="K33" s="510">
        <f t="shared" si="3"/>
        <v>10</v>
      </c>
      <c r="L33" s="494"/>
      <c r="M33" s="494"/>
      <c r="N33" s="494"/>
      <c r="T33" s="515"/>
      <c r="U33" s="515"/>
      <c r="V33" s="515"/>
      <c r="W33" s="515"/>
      <c r="X33" s="515"/>
      <c r="Y33" s="515"/>
      <c r="Z33" s="515"/>
      <c r="AA33" s="515"/>
      <c r="AB33" s="515"/>
      <c r="AC33" s="515"/>
      <c r="AD33" s="515"/>
      <c r="AE33" s="515"/>
    </row>
    <row r="34" spans="2:31" ht="12.75">
      <c r="B34" s="511">
        <f t="shared" si="4"/>
        <v>9</v>
      </c>
      <c r="C34" s="137"/>
      <c r="D34" s="140"/>
      <c r="E34" s="55"/>
      <c r="F34" s="55"/>
      <c r="G34" s="55"/>
      <c r="H34" s="117"/>
      <c r="I34" s="55"/>
      <c r="J34" s="494"/>
      <c r="K34" s="510">
        <f t="shared" si="3"/>
        <v>11</v>
      </c>
      <c r="L34" s="494"/>
      <c r="M34" s="494"/>
      <c r="N34" s="494"/>
      <c r="T34" s="515"/>
      <c r="U34" s="515"/>
      <c r="V34" s="515"/>
      <c r="W34" s="515"/>
      <c r="X34" s="515"/>
      <c r="Y34" s="515"/>
      <c r="Z34" s="515"/>
      <c r="AA34" s="515"/>
      <c r="AB34" s="515"/>
      <c r="AC34" s="515"/>
      <c r="AD34" s="515"/>
      <c r="AE34" s="515"/>
    </row>
    <row r="35" spans="2:31" ht="12.75">
      <c r="B35" s="511">
        <f t="shared" si="4"/>
        <v>10</v>
      </c>
      <c r="C35" s="137"/>
      <c r="D35" s="140"/>
      <c r="E35" s="55"/>
      <c r="F35" s="55"/>
      <c r="G35" s="55"/>
      <c r="H35" s="117"/>
      <c r="I35" s="55"/>
      <c r="J35" s="494"/>
      <c r="K35" s="510">
        <f t="shared" si="3"/>
        <v>12</v>
      </c>
      <c r="L35" s="494"/>
      <c r="M35" s="494"/>
      <c r="N35" s="494"/>
      <c r="T35" s="515"/>
      <c r="U35" s="515"/>
      <c r="V35" s="515"/>
      <c r="W35" s="515"/>
      <c r="X35" s="515"/>
      <c r="Y35" s="515"/>
      <c r="Z35" s="515"/>
      <c r="AA35" s="515"/>
      <c r="AB35" s="515"/>
      <c r="AC35" s="515"/>
      <c r="AD35" s="515"/>
      <c r="AE35" s="515"/>
    </row>
    <row r="36" spans="2:31" ht="18" customHeight="1">
      <c r="B36" s="256"/>
      <c r="C36" s="256"/>
      <c r="D36" s="256"/>
      <c r="E36" s="516"/>
      <c r="F36" s="516"/>
      <c r="G36" s="516"/>
      <c r="H36" s="516"/>
      <c r="I36" s="516"/>
      <c r="J36" s="494"/>
      <c r="K36" s="510">
        <f t="shared" si="3"/>
        <v>13</v>
      </c>
      <c r="L36" s="494"/>
      <c r="M36" s="494"/>
      <c r="N36" s="494"/>
      <c r="T36" s="515"/>
      <c r="U36" s="515"/>
      <c r="V36" s="515"/>
      <c r="W36" s="515"/>
      <c r="X36" s="515"/>
      <c r="Y36" s="515"/>
      <c r="Z36" s="515"/>
      <c r="AA36" s="515"/>
      <c r="AB36" s="515"/>
      <c r="AC36" s="515"/>
      <c r="AD36" s="515"/>
      <c r="AE36" s="515"/>
    </row>
    <row r="37" spans="2:31" ht="18" customHeight="1">
      <c r="B37" s="511"/>
      <c r="C37" s="511"/>
      <c r="D37" s="513" t="s">
        <v>1738</v>
      </c>
      <c r="E37" s="514">
        <f>SUM(E25:E36)</f>
        <v>0</v>
      </c>
      <c r="F37" s="514">
        <f t="shared" ref="F37:I37" si="5">SUM(F25:F36)</f>
        <v>0</v>
      </c>
      <c r="G37" s="514">
        <f t="shared" si="5"/>
        <v>0</v>
      </c>
      <c r="H37" s="514">
        <f t="shared" si="5"/>
        <v>0</v>
      </c>
      <c r="I37" s="514">
        <f t="shared" si="5"/>
        <v>0</v>
      </c>
      <c r="J37" s="494"/>
      <c r="K37" s="510">
        <f t="shared" si="3"/>
        <v>14</v>
      </c>
      <c r="L37" s="494"/>
      <c r="M37" s="494"/>
      <c r="N37" s="494"/>
      <c r="T37" s="515"/>
      <c r="U37" s="515"/>
      <c r="V37" s="515"/>
      <c r="W37" s="515"/>
      <c r="X37" s="515"/>
      <c r="Y37" s="515"/>
      <c r="Z37" s="515"/>
      <c r="AA37" s="515"/>
      <c r="AB37" s="515"/>
      <c r="AC37" s="515"/>
      <c r="AD37" s="515"/>
      <c r="AE37" s="515"/>
    </row>
    <row r="38" spans="2:31" ht="18" customHeight="1">
      <c r="B38" s="500"/>
      <c r="C38" s="503"/>
      <c r="D38" s="503"/>
      <c r="E38" s="503"/>
      <c r="F38" s="503"/>
      <c r="G38" s="503"/>
      <c r="H38" s="503"/>
      <c r="I38" s="504"/>
      <c r="J38" s="504"/>
      <c r="K38" s="504"/>
      <c r="L38" s="504"/>
      <c r="M38" s="504"/>
    </row>
    <row r="39" spans="2:31" ht="18" customHeight="1">
      <c r="E39" s="494"/>
      <c r="O39" s="497"/>
    </row>
    <row r="40" spans="2:31" ht="18" customHeight="1">
      <c r="B40" s="500"/>
      <c r="C40" s="20" t="s">
        <v>77</v>
      </c>
      <c r="D40" s="507" t="s">
        <v>1745</v>
      </c>
      <c r="E40" s="500"/>
      <c r="F40" s="500"/>
      <c r="G40" s="500"/>
      <c r="H40" s="500"/>
      <c r="I40" s="500"/>
      <c r="J40" s="500"/>
      <c r="K40" s="500"/>
      <c r="L40" s="500"/>
      <c r="M40" s="500"/>
      <c r="N40" s="500"/>
      <c r="O40" s="500"/>
    </row>
    <row r="41" spans="2:31" ht="70.349999999999994" customHeight="1">
      <c r="C41" s="509" t="s">
        <v>439</v>
      </c>
      <c r="D41" s="509" t="s">
        <v>1729</v>
      </c>
      <c r="E41" s="509" t="s">
        <v>1746</v>
      </c>
      <c r="F41" s="509" t="s">
        <v>1747</v>
      </c>
      <c r="G41" s="509" t="s">
        <v>1748</v>
      </c>
      <c r="H41" s="509" t="s">
        <v>1749</v>
      </c>
      <c r="I41" s="509" t="s">
        <v>1750</v>
      </c>
      <c r="J41" s="509" t="s">
        <v>1751</v>
      </c>
      <c r="K41" s="509" t="s">
        <v>1752</v>
      </c>
      <c r="L41" s="509" t="s">
        <v>1753</v>
      </c>
      <c r="M41" s="509" t="s">
        <v>1754</v>
      </c>
      <c r="N41" s="509" t="s">
        <v>1755</v>
      </c>
      <c r="O41" s="509" t="s">
        <v>1756</v>
      </c>
      <c r="P41" s="509" t="s">
        <v>1757</v>
      </c>
      <c r="R41" s="510">
        <v>1</v>
      </c>
    </row>
    <row r="42" spans="2:31" ht="18" customHeight="1">
      <c r="E42" s="53" t="s">
        <v>119</v>
      </c>
      <c r="F42" s="53" t="s">
        <v>119</v>
      </c>
      <c r="G42" s="53" t="s">
        <v>119</v>
      </c>
      <c r="H42" s="53" t="s">
        <v>119</v>
      </c>
      <c r="I42" s="53" t="s">
        <v>119</v>
      </c>
      <c r="J42" s="53" t="s">
        <v>119</v>
      </c>
      <c r="K42" s="53" t="s">
        <v>119</v>
      </c>
      <c r="L42" s="53" t="s">
        <v>119</v>
      </c>
      <c r="M42" s="53" t="s">
        <v>119</v>
      </c>
      <c r="N42" s="53" t="s">
        <v>119</v>
      </c>
      <c r="O42" s="53" t="s">
        <v>119</v>
      </c>
      <c r="P42" s="53" t="s">
        <v>119</v>
      </c>
      <c r="R42" s="510">
        <f>R41+1</f>
        <v>2</v>
      </c>
    </row>
    <row r="43" spans="2:31">
      <c r="B43" s="511">
        <v>1</v>
      </c>
      <c r="C43" s="137"/>
      <c r="D43" s="140"/>
      <c r="E43" s="55"/>
      <c r="F43" s="55"/>
      <c r="G43" s="55"/>
      <c r="H43" s="55"/>
      <c r="I43" s="55"/>
      <c r="J43" s="55"/>
      <c r="K43" s="55"/>
      <c r="L43" s="55"/>
      <c r="M43" s="55"/>
      <c r="N43" s="55"/>
      <c r="O43" s="55"/>
      <c r="P43" s="55"/>
      <c r="R43" s="510">
        <f t="shared" ref="R43:R54" si="6">R42+1</f>
        <v>3</v>
      </c>
    </row>
    <row r="44" spans="2:31">
      <c r="B44" s="511">
        <f t="shared" ref="B44:B52" si="7">B43+1</f>
        <v>2</v>
      </c>
      <c r="C44" s="137"/>
      <c r="D44" s="140"/>
      <c r="E44" s="55"/>
      <c r="F44" s="55"/>
      <c r="G44" s="55"/>
      <c r="H44" s="55"/>
      <c r="I44" s="55"/>
      <c r="J44" s="55"/>
      <c r="K44" s="55"/>
      <c r="L44" s="55"/>
      <c r="M44" s="55"/>
      <c r="N44" s="55"/>
      <c r="O44" s="55"/>
      <c r="P44" s="55"/>
      <c r="R44" s="510">
        <f t="shared" si="6"/>
        <v>4</v>
      </c>
    </row>
    <row r="45" spans="2:31">
      <c r="B45" s="511">
        <f t="shared" si="7"/>
        <v>3</v>
      </c>
      <c r="C45" s="137"/>
      <c r="D45" s="140"/>
      <c r="E45" s="55"/>
      <c r="F45" s="55"/>
      <c r="G45" s="55"/>
      <c r="H45" s="55"/>
      <c r="I45" s="55"/>
      <c r="J45" s="55"/>
      <c r="K45" s="55"/>
      <c r="L45" s="55"/>
      <c r="M45" s="55"/>
      <c r="N45" s="55"/>
      <c r="O45" s="55"/>
      <c r="P45" s="55"/>
      <c r="R45" s="510">
        <f t="shared" si="6"/>
        <v>5</v>
      </c>
    </row>
    <row r="46" spans="2:31">
      <c r="B46" s="511">
        <f t="shared" si="7"/>
        <v>4</v>
      </c>
      <c r="C46" s="137"/>
      <c r="D46" s="140"/>
      <c r="E46" s="55"/>
      <c r="F46" s="55"/>
      <c r="G46" s="55"/>
      <c r="H46" s="55"/>
      <c r="I46" s="55"/>
      <c r="J46" s="55"/>
      <c r="K46" s="55"/>
      <c r="L46" s="55"/>
      <c r="M46" s="55"/>
      <c r="N46" s="55"/>
      <c r="O46" s="55"/>
      <c r="P46" s="55"/>
      <c r="R46" s="510">
        <f t="shared" si="6"/>
        <v>6</v>
      </c>
    </row>
    <row r="47" spans="2:31">
      <c r="B47" s="511">
        <f t="shared" si="7"/>
        <v>5</v>
      </c>
      <c r="C47" s="137"/>
      <c r="D47" s="140"/>
      <c r="E47" s="55"/>
      <c r="F47" s="55"/>
      <c r="G47" s="55"/>
      <c r="H47" s="55"/>
      <c r="I47" s="55"/>
      <c r="J47" s="55"/>
      <c r="K47" s="55"/>
      <c r="L47" s="55"/>
      <c r="M47" s="55"/>
      <c r="N47" s="55"/>
      <c r="O47" s="55"/>
      <c r="P47" s="55"/>
      <c r="R47" s="510">
        <f t="shared" si="6"/>
        <v>7</v>
      </c>
    </row>
    <row r="48" spans="2:31">
      <c r="B48" s="511">
        <f t="shared" si="7"/>
        <v>6</v>
      </c>
      <c r="C48" s="137"/>
      <c r="D48" s="140"/>
      <c r="E48" s="55"/>
      <c r="F48" s="55"/>
      <c r="G48" s="55"/>
      <c r="H48" s="55"/>
      <c r="I48" s="55"/>
      <c r="J48" s="55"/>
      <c r="K48" s="55"/>
      <c r="L48" s="55"/>
      <c r="M48" s="55"/>
      <c r="N48" s="55"/>
      <c r="O48" s="55"/>
      <c r="P48" s="55"/>
      <c r="R48" s="510">
        <f t="shared" si="6"/>
        <v>8</v>
      </c>
    </row>
    <row r="49" spans="2:29">
      <c r="B49" s="511">
        <f t="shared" si="7"/>
        <v>7</v>
      </c>
      <c r="C49" s="137"/>
      <c r="D49" s="140"/>
      <c r="E49" s="55"/>
      <c r="F49" s="55"/>
      <c r="G49" s="55"/>
      <c r="H49" s="55"/>
      <c r="I49" s="55"/>
      <c r="J49" s="55"/>
      <c r="K49" s="55"/>
      <c r="L49" s="55"/>
      <c r="M49" s="55"/>
      <c r="N49" s="55"/>
      <c r="O49" s="55"/>
      <c r="P49" s="55"/>
      <c r="R49" s="510">
        <f t="shared" si="6"/>
        <v>9</v>
      </c>
    </row>
    <row r="50" spans="2:29">
      <c r="B50" s="511">
        <f t="shared" si="7"/>
        <v>8</v>
      </c>
      <c r="C50" s="137"/>
      <c r="D50" s="140"/>
      <c r="E50" s="55"/>
      <c r="F50" s="55"/>
      <c r="G50" s="55"/>
      <c r="H50" s="55"/>
      <c r="I50" s="55"/>
      <c r="J50" s="55"/>
      <c r="K50" s="55"/>
      <c r="L50" s="55"/>
      <c r="M50" s="55"/>
      <c r="N50" s="55"/>
      <c r="O50" s="55"/>
      <c r="P50" s="55"/>
      <c r="R50" s="510">
        <f t="shared" si="6"/>
        <v>10</v>
      </c>
    </row>
    <row r="51" spans="2:29">
      <c r="B51" s="511">
        <f t="shared" si="7"/>
        <v>9</v>
      </c>
      <c r="C51" s="137"/>
      <c r="D51" s="140"/>
      <c r="E51" s="55"/>
      <c r="F51" s="55"/>
      <c r="G51" s="55"/>
      <c r="H51" s="55"/>
      <c r="I51" s="55"/>
      <c r="J51" s="55"/>
      <c r="K51" s="55"/>
      <c r="L51" s="55"/>
      <c r="M51" s="55"/>
      <c r="N51" s="55"/>
      <c r="O51" s="55"/>
      <c r="P51" s="55"/>
      <c r="R51" s="510">
        <f t="shared" si="6"/>
        <v>11</v>
      </c>
    </row>
    <row r="52" spans="2:29">
      <c r="B52" s="511">
        <f t="shared" si="7"/>
        <v>10</v>
      </c>
      <c r="C52" s="137"/>
      <c r="D52" s="140"/>
      <c r="E52" s="55"/>
      <c r="F52" s="55"/>
      <c r="G52" s="55"/>
      <c r="H52" s="55"/>
      <c r="I52" s="55"/>
      <c r="J52" s="55"/>
      <c r="K52" s="55"/>
      <c r="L52" s="55"/>
      <c r="M52" s="55"/>
      <c r="N52" s="55"/>
      <c r="O52" s="55"/>
      <c r="P52" s="55"/>
      <c r="R52" s="510">
        <f t="shared" si="6"/>
        <v>12</v>
      </c>
    </row>
    <row r="53" spans="2:29" ht="18" customHeight="1">
      <c r="E53" s="517"/>
      <c r="F53" s="517"/>
      <c r="G53" s="517"/>
      <c r="H53" s="517"/>
      <c r="I53" s="517"/>
      <c r="J53" s="517"/>
      <c r="K53" s="517"/>
      <c r="L53" s="517"/>
      <c r="M53" s="517"/>
      <c r="N53" s="517"/>
      <c r="O53" s="517"/>
      <c r="P53" s="517"/>
      <c r="R53" s="510">
        <f t="shared" si="6"/>
        <v>13</v>
      </c>
    </row>
    <row r="54" spans="2:29" ht="18" customHeight="1">
      <c r="B54" s="511"/>
      <c r="C54" s="511"/>
      <c r="D54" s="505" t="s">
        <v>1738</v>
      </c>
      <c r="E54" s="514">
        <f>SUM(E42:E53)</f>
        <v>0</v>
      </c>
      <c r="F54" s="514">
        <f t="shared" ref="F54:P54" si="8">SUM(F42:F53)</f>
        <v>0</v>
      </c>
      <c r="G54" s="514">
        <f t="shared" si="8"/>
        <v>0</v>
      </c>
      <c r="H54" s="514">
        <f t="shared" si="8"/>
        <v>0</v>
      </c>
      <c r="I54" s="514">
        <f t="shared" si="8"/>
        <v>0</v>
      </c>
      <c r="J54" s="514">
        <f t="shared" si="8"/>
        <v>0</v>
      </c>
      <c r="K54" s="514">
        <f t="shared" si="8"/>
        <v>0</v>
      </c>
      <c r="L54" s="514">
        <f t="shared" si="8"/>
        <v>0</v>
      </c>
      <c r="M54" s="514">
        <f t="shared" si="8"/>
        <v>0</v>
      </c>
      <c r="N54" s="514">
        <f t="shared" si="8"/>
        <v>0</v>
      </c>
      <c r="O54" s="514">
        <f t="shared" si="8"/>
        <v>0</v>
      </c>
      <c r="P54" s="514">
        <f t="shared" si="8"/>
        <v>0</v>
      </c>
      <c r="R54" s="510">
        <f t="shared" si="6"/>
        <v>14</v>
      </c>
    </row>
    <row r="55" spans="2:29" s="515" customFormat="1" ht="18" customHeight="1">
      <c r="P55" s="505"/>
      <c r="Q55" s="494"/>
    </row>
    <row r="56" spans="2:29" ht="18" customHeight="1">
      <c r="E56" s="494"/>
      <c r="O56" s="497"/>
      <c r="P56" s="505"/>
    </row>
    <row r="57" spans="2:29" ht="18" customHeight="1">
      <c r="C57" s="20" t="s">
        <v>77</v>
      </c>
      <c r="D57" s="507" t="s">
        <v>1758</v>
      </c>
      <c r="E57" s="494"/>
      <c r="F57" s="494"/>
      <c r="G57" s="494"/>
      <c r="H57" s="494"/>
      <c r="I57" s="494"/>
      <c r="J57" s="494"/>
      <c r="K57" s="494"/>
      <c r="L57" s="494"/>
      <c r="M57" s="494"/>
      <c r="N57" s="494"/>
      <c r="P57" s="505"/>
      <c r="Q57" s="500"/>
      <c r="R57" s="515"/>
      <c r="S57" s="515"/>
      <c r="T57" s="515"/>
      <c r="U57" s="515"/>
      <c r="V57" s="515"/>
      <c r="W57" s="515"/>
      <c r="X57" s="515"/>
      <c r="Y57" s="515"/>
      <c r="Z57" s="515"/>
      <c r="AA57" s="515"/>
      <c r="AB57" s="515"/>
      <c r="AC57" s="515"/>
    </row>
    <row r="58" spans="2:29" ht="135.6" customHeight="1">
      <c r="C58" s="509" t="s">
        <v>439</v>
      </c>
      <c r="D58" s="509" t="s">
        <v>1729</v>
      </c>
      <c r="E58" s="509" t="s">
        <v>1759</v>
      </c>
      <c r="F58" s="509" t="s">
        <v>1760</v>
      </c>
      <c r="G58" s="509" t="s">
        <v>1761</v>
      </c>
      <c r="H58" s="494"/>
      <c r="I58" s="510">
        <v>1</v>
      </c>
      <c r="J58" s="494"/>
      <c r="K58" s="494"/>
      <c r="L58" s="494"/>
      <c r="M58" s="494"/>
      <c r="N58" s="494"/>
      <c r="P58" s="505"/>
      <c r="R58" s="515"/>
      <c r="S58" s="515"/>
      <c r="T58" s="515"/>
      <c r="U58" s="515"/>
      <c r="V58" s="515"/>
      <c r="W58" s="515"/>
      <c r="X58" s="515"/>
      <c r="Y58" s="515"/>
      <c r="Z58" s="515"/>
      <c r="AA58" s="515"/>
      <c r="AB58" s="515"/>
      <c r="AC58" s="515"/>
    </row>
    <row r="59" spans="2:29" ht="18" customHeight="1">
      <c r="E59" s="53" t="s">
        <v>119</v>
      </c>
      <c r="F59" s="53" t="s">
        <v>119</v>
      </c>
      <c r="G59" s="53" t="s">
        <v>119</v>
      </c>
      <c r="H59" s="494"/>
      <c r="I59" s="510">
        <f>I58+1</f>
        <v>2</v>
      </c>
      <c r="J59" s="494"/>
      <c r="K59" s="494"/>
      <c r="L59" s="494"/>
      <c r="M59" s="494"/>
      <c r="N59" s="494"/>
      <c r="P59" s="505"/>
      <c r="R59" s="515"/>
      <c r="S59" s="515"/>
      <c r="T59" s="515"/>
      <c r="U59" s="515"/>
      <c r="V59" s="515"/>
      <c r="W59" s="515"/>
      <c r="X59" s="515"/>
      <c r="Y59" s="515"/>
      <c r="Z59" s="515"/>
      <c r="AA59" s="515"/>
      <c r="AB59" s="515"/>
      <c r="AC59" s="515"/>
    </row>
    <row r="60" spans="2:29" ht="12.75">
      <c r="B60" s="511">
        <v>1</v>
      </c>
      <c r="C60" s="137"/>
      <c r="D60" s="141"/>
      <c r="E60" s="55"/>
      <c r="F60" s="55"/>
      <c r="G60" s="55"/>
      <c r="H60" s="494"/>
      <c r="I60" s="510">
        <f t="shared" ref="I60:I71" si="9">I59+1</f>
        <v>3</v>
      </c>
      <c r="J60" s="494"/>
      <c r="K60" s="494"/>
      <c r="L60" s="494"/>
      <c r="M60" s="494"/>
      <c r="N60" s="494"/>
      <c r="P60" s="505"/>
      <c r="Q60" s="256"/>
      <c r="R60" s="515"/>
      <c r="S60" s="515"/>
      <c r="T60" s="515"/>
      <c r="U60" s="515"/>
      <c r="V60" s="515"/>
      <c r="W60" s="515"/>
      <c r="X60" s="515"/>
      <c r="Y60" s="515"/>
      <c r="Z60" s="515"/>
      <c r="AA60" s="515"/>
      <c r="AB60" s="515"/>
      <c r="AC60" s="515"/>
    </row>
    <row r="61" spans="2:29" ht="12.75">
      <c r="B61" s="511">
        <v>2</v>
      </c>
      <c r="C61" s="137"/>
      <c r="D61" s="141"/>
      <c r="E61" s="55"/>
      <c r="F61" s="55"/>
      <c r="G61" s="55"/>
      <c r="H61" s="494"/>
      <c r="I61" s="510">
        <f t="shared" si="9"/>
        <v>4</v>
      </c>
      <c r="J61" s="494"/>
      <c r="K61" s="494"/>
      <c r="L61" s="494"/>
      <c r="M61" s="494"/>
      <c r="N61" s="494"/>
      <c r="P61" s="505"/>
      <c r="Q61" s="256"/>
      <c r="R61" s="515"/>
      <c r="S61" s="515"/>
      <c r="T61" s="515"/>
      <c r="U61" s="515"/>
      <c r="V61" s="515"/>
      <c r="W61" s="515"/>
      <c r="X61" s="515"/>
      <c r="Y61" s="515"/>
      <c r="Z61" s="515"/>
      <c r="AA61" s="515"/>
      <c r="AB61" s="515"/>
      <c r="AC61" s="515"/>
    </row>
    <row r="62" spans="2:29" ht="12.75">
      <c r="B62" s="511">
        <v>3</v>
      </c>
      <c r="C62" s="137"/>
      <c r="D62" s="141"/>
      <c r="E62" s="55"/>
      <c r="F62" s="55"/>
      <c r="G62" s="55"/>
      <c r="H62" s="494"/>
      <c r="I62" s="510">
        <f t="shared" si="9"/>
        <v>5</v>
      </c>
      <c r="J62" s="494"/>
      <c r="K62" s="494"/>
      <c r="L62" s="494"/>
      <c r="M62" s="494"/>
      <c r="N62" s="494"/>
      <c r="P62" s="505"/>
      <c r="Q62" s="256"/>
      <c r="R62" s="515"/>
      <c r="S62" s="515"/>
      <c r="T62" s="515"/>
      <c r="U62" s="515"/>
    </row>
    <row r="63" spans="2:29" ht="12.75">
      <c r="B63" s="511">
        <v>4</v>
      </c>
      <c r="C63" s="137"/>
      <c r="D63" s="141"/>
      <c r="E63" s="55"/>
      <c r="F63" s="55"/>
      <c r="G63" s="55"/>
      <c r="H63" s="494"/>
      <c r="I63" s="510">
        <f t="shared" si="9"/>
        <v>6</v>
      </c>
      <c r="J63" s="494"/>
      <c r="K63" s="494"/>
      <c r="L63" s="494"/>
      <c r="M63" s="494"/>
      <c r="N63" s="494"/>
      <c r="P63" s="505"/>
      <c r="Q63" s="256"/>
      <c r="R63" s="515"/>
      <c r="S63" s="515"/>
      <c r="T63" s="515"/>
      <c r="U63" s="515"/>
    </row>
    <row r="64" spans="2:29" ht="12.75">
      <c r="B64" s="511">
        <v>5</v>
      </c>
      <c r="C64" s="137"/>
      <c r="D64" s="141"/>
      <c r="E64" s="55"/>
      <c r="F64" s="55"/>
      <c r="G64" s="55"/>
      <c r="H64" s="494"/>
      <c r="I64" s="510">
        <f t="shared" si="9"/>
        <v>7</v>
      </c>
      <c r="J64" s="494"/>
      <c r="K64" s="494"/>
      <c r="L64" s="494"/>
      <c r="M64" s="494"/>
      <c r="N64" s="494"/>
      <c r="P64" s="505"/>
      <c r="Q64" s="256"/>
      <c r="R64" s="515"/>
      <c r="S64" s="515"/>
      <c r="T64" s="515"/>
      <c r="U64" s="515"/>
    </row>
    <row r="65" spans="1:32" ht="12.75">
      <c r="B65" s="511">
        <v>6</v>
      </c>
      <c r="C65" s="137"/>
      <c r="D65" s="141"/>
      <c r="E65" s="55"/>
      <c r="F65" s="55"/>
      <c r="G65" s="55"/>
      <c r="H65" s="494"/>
      <c r="I65" s="510">
        <f t="shared" si="9"/>
        <v>8</v>
      </c>
      <c r="J65" s="494"/>
      <c r="K65" s="494"/>
      <c r="L65" s="494"/>
      <c r="M65" s="494"/>
      <c r="N65" s="494"/>
      <c r="P65" s="505"/>
      <c r="Q65" s="256"/>
      <c r="R65" s="515"/>
      <c r="S65" s="515"/>
      <c r="T65" s="515"/>
      <c r="U65" s="515"/>
    </row>
    <row r="66" spans="1:32" ht="12.75">
      <c r="B66" s="511">
        <v>7</v>
      </c>
      <c r="C66" s="137"/>
      <c r="D66" s="141"/>
      <c r="E66" s="55"/>
      <c r="F66" s="55"/>
      <c r="G66" s="55"/>
      <c r="H66" s="494"/>
      <c r="I66" s="510">
        <f t="shared" si="9"/>
        <v>9</v>
      </c>
      <c r="J66" s="494"/>
      <c r="K66" s="494"/>
      <c r="L66" s="494"/>
      <c r="M66" s="494"/>
      <c r="N66" s="494"/>
      <c r="P66" s="505"/>
      <c r="Q66" s="256"/>
      <c r="R66" s="515"/>
      <c r="S66" s="515"/>
      <c r="T66" s="515"/>
      <c r="U66" s="515"/>
    </row>
    <row r="67" spans="1:32" ht="12.75">
      <c r="B67" s="511">
        <v>8</v>
      </c>
      <c r="C67" s="137"/>
      <c r="D67" s="141"/>
      <c r="E67" s="55"/>
      <c r="F67" s="55"/>
      <c r="G67" s="55"/>
      <c r="H67" s="494"/>
      <c r="I67" s="510">
        <f t="shared" si="9"/>
        <v>10</v>
      </c>
      <c r="J67" s="494"/>
      <c r="K67" s="494"/>
      <c r="L67" s="494"/>
      <c r="M67" s="494"/>
      <c r="N67" s="494"/>
      <c r="P67" s="505"/>
      <c r="Q67" s="256"/>
      <c r="R67" s="515"/>
      <c r="S67" s="515"/>
      <c r="T67" s="515"/>
      <c r="U67" s="515"/>
    </row>
    <row r="68" spans="1:32" ht="12.75">
      <c r="B68" s="511">
        <v>9</v>
      </c>
      <c r="C68" s="137"/>
      <c r="D68" s="141"/>
      <c r="E68" s="55"/>
      <c r="F68" s="55"/>
      <c r="G68" s="55"/>
      <c r="H68" s="494"/>
      <c r="I68" s="510">
        <f t="shared" si="9"/>
        <v>11</v>
      </c>
      <c r="J68" s="494"/>
      <c r="K68" s="494"/>
      <c r="L68" s="494"/>
      <c r="M68" s="494"/>
      <c r="N68" s="494"/>
      <c r="P68" s="505"/>
      <c r="Q68" s="256"/>
      <c r="R68" s="515"/>
      <c r="S68" s="515"/>
      <c r="T68" s="515"/>
      <c r="U68" s="515"/>
    </row>
    <row r="69" spans="1:32" ht="12.75">
      <c r="B69" s="511">
        <v>10</v>
      </c>
      <c r="C69" s="137"/>
      <c r="D69" s="141"/>
      <c r="E69" s="55"/>
      <c r="F69" s="55"/>
      <c r="G69" s="55"/>
      <c r="H69" s="494"/>
      <c r="I69" s="510">
        <f t="shared" si="9"/>
        <v>12</v>
      </c>
      <c r="J69" s="494"/>
      <c r="K69" s="494"/>
      <c r="L69" s="494"/>
      <c r="M69" s="494"/>
      <c r="N69" s="494"/>
      <c r="P69" s="505"/>
      <c r="Q69" s="256"/>
      <c r="R69" s="515"/>
      <c r="S69" s="515"/>
      <c r="T69" s="515"/>
      <c r="U69" s="515"/>
    </row>
    <row r="70" spans="1:32" ht="18" customHeight="1">
      <c r="E70" s="512"/>
      <c r="F70" s="512"/>
      <c r="G70" s="512"/>
      <c r="H70" s="494"/>
      <c r="I70" s="510">
        <f t="shared" si="9"/>
        <v>13</v>
      </c>
      <c r="J70" s="494"/>
      <c r="K70" s="494"/>
      <c r="L70" s="494"/>
      <c r="M70" s="494"/>
      <c r="N70" s="494"/>
      <c r="P70" s="505"/>
      <c r="Q70" s="515"/>
      <c r="R70" s="515"/>
      <c r="S70" s="515"/>
      <c r="T70" s="515"/>
      <c r="U70" s="515"/>
    </row>
    <row r="71" spans="1:32" ht="18" customHeight="1">
      <c r="D71" s="505" t="s">
        <v>1738</v>
      </c>
      <c r="E71" s="514">
        <f>SUM(E59:E70)</f>
        <v>0</v>
      </c>
      <c r="F71" s="514">
        <f t="shared" ref="F71:G71" si="10">SUM(F59:F70)</f>
        <v>0</v>
      </c>
      <c r="G71" s="514">
        <f t="shared" si="10"/>
        <v>0</v>
      </c>
      <c r="H71" s="494"/>
      <c r="I71" s="510">
        <f t="shared" si="9"/>
        <v>14</v>
      </c>
      <c r="J71" s="494"/>
      <c r="K71" s="494"/>
      <c r="L71" s="494"/>
      <c r="M71" s="494"/>
      <c r="N71" s="494"/>
      <c r="P71" s="505"/>
      <c r="Q71" s="518"/>
      <c r="R71" s="515"/>
      <c r="S71" s="515"/>
      <c r="T71" s="515"/>
      <c r="U71" s="515"/>
    </row>
    <row r="72" spans="1:32" ht="18" customHeight="1">
      <c r="A72" s="515"/>
      <c r="B72" s="515"/>
      <c r="C72" s="515"/>
      <c r="D72" s="515"/>
      <c r="E72" s="515"/>
      <c r="F72" s="515"/>
      <c r="G72" s="515"/>
      <c r="H72" s="494"/>
      <c r="I72" s="494"/>
      <c r="J72" s="494"/>
      <c r="K72" s="494"/>
      <c r="L72" s="494"/>
      <c r="M72" s="494"/>
      <c r="N72" s="494"/>
      <c r="P72" s="505"/>
      <c r="Q72" s="515"/>
      <c r="R72" s="515"/>
      <c r="S72" s="515"/>
      <c r="T72" s="515"/>
      <c r="U72" s="515"/>
    </row>
    <row r="73" spans="1:32" ht="18" customHeight="1">
      <c r="A73" s="515"/>
      <c r="B73" s="515"/>
      <c r="C73" s="515"/>
      <c r="D73" s="515"/>
      <c r="E73" s="515"/>
      <c r="F73" s="515"/>
      <c r="G73" s="515"/>
      <c r="H73" s="515"/>
      <c r="I73" s="515"/>
      <c r="J73" s="515"/>
      <c r="K73" s="515"/>
      <c r="L73" s="515"/>
      <c r="M73" s="515"/>
      <c r="N73" s="515"/>
      <c r="O73" s="515"/>
      <c r="P73" s="515"/>
      <c r="Q73" s="515"/>
      <c r="R73" s="515"/>
      <c r="S73" s="515"/>
      <c r="T73" s="515"/>
      <c r="U73" s="515"/>
      <c r="V73" s="515"/>
    </row>
    <row r="74" spans="1:32" ht="18" customHeight="1">
      <c r="C74" s="20" t="s">
        <v>77</v>
      </c>
      <c r="D74" s="507" t="s">
        <v>1762</v>
      </c>
      <c r="E74" s="519"/>
      <c r="F74" s="494"/>
      <c r="G74" s="494"/>
      <c r="H74" s="494"/>
      <c r="I74" s="494"/>
      <c r="J74" s="494"/>
      <c r="K74" s="494"/>
      <c r="L74" s="494"/>
      <c r="M74" s="494"/>
      <c r="N74" s="494"/>
      <c r="S74" s="505"/>
      <c r="T74" s="500"/>
      <c r="U74" s="515"/>
      <c r="V74" s="515"/>
      <c r="W74" s="515"/>
      <c r="X74" s="515"/>
      <c r="Y74" s="515"/>
      <c r="Z74" s="515"/>
      <c r="AA74" s="515"/>
      <c r="AB74" s="515"/>
      <c r="AC74" s="515"/>
      <c r="AD74" s="515"/>
      <c r="AE74" s="515"/>
      <c r="AF74" s="515"/>
    </row>
    <row r="75" spans="1:32" ht="135.6" customHeight="1">
      <c r="C75" s="509" t="s">
        <v>439</v>
      </c>
      <c r="D75" s="509" t="s">
        <v>1729</v>
      </c>
      <c r="E75" s="509" t="str">
        <f>Lists!C127</f>
        <v>Planting mature trees (&gt;15 cm)</v>
      </c>
      <c r="F75" s="509" t="str">
        <f>Lists!C128</f>
        <v>Planting tube stock (&lt;=15 cm)</v>
      </c>
      <c r="G75" s="509" t="str">
        <f>Lists!C129</f>
        <v>Hydro-seeding with mulch and bitumen tack</v>
      </c>
      <c r="H75" s="509" t="str">
        <f>Lists!E118</f>
        <v>Gypsum Normal Soil</v>
      </c>
      <c r="I75" s="509" t="str">
        <f>Lists!F118</f>
        <v>Gypsum Sodic Soil</v>
      </c>
      <c r="J75" s="509" t="str">
        <f>Lists!G118</f>
        <v>Gypsum Recycled Normal Soil</v>
      </c>
      <c r="K75" s="509" t="str">
        <f>Lists!H118</f>
        <v>Gypsum Recycled Sodic Soil</v>
      </c>
      <c r="L75" s="509" t="str">
        <f>Lists!I118</f>
        <v>Lime</v>
      </c>
      <c r="M75" s="509" t="str">
        <f>Lists!J118</f>
        <v>Biosolids, MSW, Manure</v>
      </c>
      <c r="N75" s="509" t="str">
        <f>Lists!K118</f>
        <v>Hay Mulch / Sugar Cane</v>
      </c>
      <c r="O75" s="509" t="str">
        <f>Lists!L118</f>
        <v>Fertiliser pasture</v>
      </c>
      <c r="P75" s="509" t="str">
        <f>Lists!M118</f>
        <v>Fertiliser trees</v>
      </c>
      <c r="Q75" s="509" t="str">
        <f>Lists!C134</f>
        <v>Direct seeding / fertiliser (pasture grass species)</v>
      </c>
      <c r="R75" s="509" t="str">
        <f>Lists!D134</f>
        <v>Direct seeding / fertiliser (native tree/shrub/grass species)</v>
      </c>
      <c r="S75" s="505"/>
      <c r="T75" s="510">
        <v>1</v>
      </c>
      <c r="U75" s="515"/>
      <c r="V75" s="515"/>
      <c r="W75" s="515"/>
      <c r="X75" s="515"/>
      <c r="Y75" s="515"/>
      <c r="Z75" s="515"/>
      <c r="AA75" s="515"/>
      <c r="AB75" s="515"/>
      <c r="AC75" s="515"/>
      <c r="AD75" s="515"/>
      <c r="AE75" s="515"/>
      <c r="AF75" s="515"/>
    </row>
    <row r="76" spans="1:32" ht="18" customHeight="1">
      <c r="E76" s="53" t="s">
        <v>1763</v>
      </c>
      <c r="F76" s="53" t="s">
        <v>1763</v>
      </c>
      <c r="G76" s="53" t="s">
        <v>88</v>
      </c>
      <c r="H76" s="53" t="s">
        <v>119</v>
      </c>
      <c r="I76" s="53" t="s">
        <v>119</v>
      </c>
      <c r="J76" s="53" t="s">
        <v>119</v>
      </c>
      <c r="K76" s="53" t="s">
        <v>119</v>
      </c>
      <c r="L76" s="53" t="s">
        <v>119</v>
      </c>
      <c r="M76" s="53" t="s">
        <v>119</v>
      </c>
      <c r="N76" s="53" t="s">
        <v>119</v>
      </c>
      <c r="O76" s="53" t="s">
        <v>119</v>
      </c>
      <c r="P76" s="53" t="s">
        <v>119</v>
      </c>
      <c r="Q76" s="53" t="s">
        <v>119</v>
      </c>
      <c r="R76" s="53" t="s">
        <v>119</v>
      </c>
      <c r="S76" s="505"/>
      <c r="T76" s="510">
        <f>T75+1</f>
        <v>2</v>
      </c>
      <c r="U76" s="515"/>
      <c r="V76" s="515"/>
      <c r="W76" s="515"/>
      <c r="X76" s="515"/>
      <c r="Y76" s="515"/>
      <c r="Z76" s="515"/>
      <c r="AA76" s="515"/>
      <c r="AB76" s="515"/>
      <c r="AC76" s="515"/>
      <c r="AD76" s="515"/>
      <c r="AE76" s="515"/>
      <c r="AF76" s="515"/>
    </row>
    <row r="77" spans="1:32" ht="12.75">
      <c r="B77" s="511">
        <v>1</v>
      </c>
      <c r="C77" s="137"/>
      <c r="D77" s="141"/>
      <c r="E77" s="89"/>
      <c r="F77" s="89"/>
      <c r="G77" s="55"/>
      <c r="H77" s="55"/>
      <c r="I77" s="55"/>
      <c r="J77" s="55"/>
      <c r="K77" s="55"/>
      <c r="L77" s="55"/>
      <c r="M77" s="55"/>
      <c r="N77" s="55"/>
      <c r="O77" s="55"/>
      <c r="P77" s="118"/>
      <c r="Q77" s="118"/>
      <c r="R77" s="118"/>
      <c r="S77" s="505"/>
      <c r="T77" s="510">
        <f t="shared" ref="T77:T88" si="11">T76+1</f>
        <v>3</v>
      </c>
      <c r="U77" s="515"/>
      <c r="V77" s="515"/>
      <c r="W77" s="515"/>
      <c r="X77" s="515"/>
      <c r="Y77" s="515"/>
      <c r="Z77" s="515"/>
      <c r="AA77" s="515"/>
      <c r="AB77" s="515"/>
      <c r="AC77" s="515"/>
      <c r="AD77" s="515"/>
      <c r="AE77" s="515"/>
      <c r="AF77" s="515"/>
    </row>
    <row r="78" spans="1:32" ht="12.75">
      <c r="B78" s="511">
        <v>2</v>
      </c>
      <c r="C78" s="137"/>
      <c r="D78" s="141"/>
      <c r="E78" s="89"/>
      <c r="F78" s="89"/>
      <c r="G78" s="55"/>
      <c r="H78" s="55"/>
      <c r="I78" s="55"/>
      <c r="J78" s="55"/>
      <c r="K78" s="55"/>
      <c r="L78" s="55"/>
      <c r="M78" s="55"/>
      <c r="N78" s="55"/>
      <c r="O78" s="55"/>
      <c r="P78" s="118"/>
      <c r="Q78" s="118"/>
      <c r="R78" s="118"/>
      <c r="S78" s="505"/>
      <c r="T78" s="510">
        <f t="shared" si="11"/>
        <v>4</v>
      </c>
      <c r="U78" s="515"/>
      <c r="V78" s="515"/>
      <c r="W78" s="515"/>
      <c r="X78" s="515"/>
      <c r="Y78" s="515"/>
      <c r="Z78" s="515"/>
      <c r="AA78" s="515"/>
      <c r="AB78" s="515"/>
      <c r="AC78" s="515"/>
      <c r="AD78" s="515"/>
      <c r="AE78" s="515"/>
      <c r="AF78" s="515"/>
    </row>
    <row r="79" spans="1:32" ht="12.75">
      <c r="B79" s="511">
        <v>3</v>
      </c>
      <c r="C79" s="137"/>
      <c r="D79" s="141"/>
      <c r="E79" s="89"/>
      <c r="F79" s="89"/>
      <c r="G79" s="55"/>
      <c r="H79" s="55"/>
      <c r="I79" s="55"/>
      <c r="J79" s="55"/>
      <c r="K79" s="55"/>
      <c r="L79" s="55"/>
      <c r="M79" s="55"/>
      <c r="N79" s="55"/>
      <c r="O79" s="55"/>
      <c r="P79" s="118"/>
      <c r="Q79" s="118"/>
      <c r="R79" s="118"/>
      <c r="S79" s="505"/>
      <c r="T79" s="510">
        <f t="shared" si="11"/>
        <v>5</v>
      </c>
      <c r="U79" s="515"/>
      <c r="V79" s="515"/>
      <c r="W79" s="515"/>
      <c r="X79" s="515"/>
    </row>
    <row r="80" spans="1:32" ht="12.75">
      <c r="B80" s="511">
        <v>4</v>
      </c>
      <c r="C80" s="137"/>
      <c r="D80" s="141"/>
      <c r="E80" s="89"/>
      <c r="F80" s="89"/>
      <c r="G80" s="55"/>
      <c r="H80" s="55"/>
      <c r="I80" s="55"/>
      <c r="J80" s="55"/>
      <c r="K80" s="55"/>
      <c r="L80" s="55"/>
      <c r="M80" s="55"/>
      <c r="N80" s="55"/>
      <c r="O80" s="55"/>
      <c r="P80" s="118"/>
      <c r="Q80" s="118"/>
      <c r="R80" s="118"/>
      <c r="S80" s="505"/>
      <c r="T80" s="510">
        <f t="shared" si="11"/>
        <v>6</v>
      </c>
      <c r="U80" s="515"/>
      <c r="V80" s="515"/>
      <c r="W80" s="515"/>
      <c r="X80" s="515"/>
    </row>
    <row r="81" spans="1:29" ht="12.75">
      <c r="B81" s="511">
        <v>5</v>
      </c>
      <c r="C81" s="137"/>
      <c r="D81" s="141"/>
      <c r="E81" s="89"/>
      <c r="F81" s="89"/>
      <c r="G81" s="55"/>
      <c r="H81" s="55"/>
      <c r="I81" s="55"/>
      <c r="J81" s="55"/>
      <c r="K81" s="55"/>
      <c r="L81" s="55"/>
      <c r="M81" s="55"/>
      <c r="N81" s="55"/>
      <c r="O81" s="55"/>
      <c r="P81" s="118"/>
      <c r="Q81" s="118"/>
      <c r="R81" s="118"/>
      <c r="S81" s="505"/>
      <c r="T81" s="510">
        <f t="shared" si="11"/>
        <v>7</v>
      </c>
      <c r="U81" s="515"/>
      <c r="V81" s="515"/>
      <c r="W81" s="515"/>
      <c r="X81" s="515"/>
    </row>
    <row r="82" spans="1:29" ht="12.75">
      <c r="B82" s="511">
        <v>6</v>
      </c>
      <c r="C82" s="137"/>
      <c r="D82" s="141"/>
      <c r="E82" s="89"/>
      <c r="F82" s="89"/>
      <c r="G82" s="55"/>
      <c r="H82" s="55"/>
      <c r="I82" s="55"/>
      <c r="J82" s="55"/>
      <c r="K82" s="55"/>
      <c r="L82" s="55"/>
      <c r="M82" s="55"/>
      <c r="N82" s="55"/>
      <c r="O82" s="55"/>
      <c r="P82" s="118"/>
      <c r="Q82" s="118"/>
      <c r="R82" s="118"/>
      <c r="S82" s="505"/>
      <c r="T82" s="510">
        <f t="shared" si="11"/>
        <v>8</v>
      </c>
      <c r="U82" s="515"/>
      <c r="V82" s="515"/>
      <c r="W82" s="515"/>
      <c r="X82" s="515"/>
    </row>
    <row r="83" spans="1:29" ht="12.75">
      <c r="B83" s="511">
        <v>7</v>
      </c>
      <c r="C83" s="137"/>
      <c r="D83" s="141"/>
      <c r="E83" s="89"/>
      <c r="F83" s="89"/>
      <c r="G83" s="55"/>
      <c r="H83" s="55"/>
      <c r="I83" s="55"/>
      <c r="J83" s="55"/>
      <c r="K83" s="55"/>
      <c r="L83" s="55"/>
      <c r="M83" s="55"/>
      <c r="N83" s="55"/>
      <c r="O83" s="55"/>
      <c r="P83" s="118"/>
      <c r="Q83" s="118"/>
      <c r="R83" s="118"/>
      <c r="S83" s="505"/>
      <c r="T83" s="510">
        <f t="shared" si="11"/>
        <v>9</v>
      </c>
      <c r="U83" s="515"/>
      <c r="V83" s="515"/>
      <c r="W83" s="515"/>
      <c r="X83" s="515"/>
    </row>
    <row r="84" spans="1:29" ht="12.75">
      <c r="B84" s="511">
        <v>8</v>
      </c>
      <c r="C84" s="137"/>
      <c r="D84" s="141"/>
      <c r="E84" s="89"/>
      <c r="F84" s="89"/>
      <c r="G84" s="55"/>
      <c r="H84" s="55"/>
      <c r="I84" s="55"/>
      <c r="J84" s="55"/>
      <c r="K84" s="55"/>
      <c r="L84" s="55"/>
      <c r="M84" s="55"/>
      <c r="N84" s="55"/>
      <c r="O84" s="55"/>
      <c r="P84" s="118"/>
      <c r="Q84" s="118"/>
      <c r="R84" s="118"/>
      <c r="S84" s="505"/>
      <c r="T84" s="510">
        <f t="shared" si="11"/>
        <v>10</v>
      </c>
      <c r="U84" s="515"/>
      <c r="V84" s="515"/>
      <c r="W84" s="515"/>
      <c r="X84" s="515"/>
    </row>
    <row r="85" spans="1:29" ht="12.75">
      <c r="B85" s="511">
        <v>9</v>
      </c>
      <c r="C85" s="137"/>
      <c r="D85" s="141"/>
      <c r="E85" s="89"/>
      <c r="F85" s="89"/>
      <c r="G85" s="55"/>
      <c r="H85" s="55"/>
      <c r="I85" s="55"/>
      <c r="J85" s="55"/>
      <c r="K85" s="55"/>
      <c r="L85" s="55"/>
      <c r="M85" s="55"/>
      <c r="N85" s="55"/>
      <c r="O85" s="55"/>
      <c r="P85" s="118"/>
      <c r="Q85" s="118"/>
      <c r="R85" s="118"/>
      <c r="S85" s="505"/>
      <c r="T85" s="510">
        <f t="shared" si="11"/>
        <v>11</v>
      </c>
      <c r="U85" s="515"/>
      <c r="V85" s="515"/>
      <c r="W85" s="515"/>
      <c r="X85" s="515"/>
    </row>
    <row r="86" spans="1:29" ht="12.75">
      <c r="B86" s="511">
        <v>10</v>
      </c>
      <c r="C86" s="137"/>
      <c r="D86" s="141"/>
      <c r="E86" s="89"/>
      <c r="F86" s="89"/>
      <c r="G86" s="55"/>
      <c r="H86" s="55"/>
      <c r="I86" s="55"/>
      <c r="J86" s="55"/>
      <c r="K86" s="55"/>
      <c r="L86" s="55"/>
      <c r="M86" s="55"/>
      <c r="N86" s="55"/>
      <c r="O86" s="55"/>
      <c r="P86" s="118"/>
      <c r="Q86" s="118"/>
      <c r="R86" s="118"/>
      <c r="S86" s="505"/>
      <c r="T86" s="510">
        <f t="shared" si="11"/>
        <v>12</v>
      </c>
      <c r="U86" s="515"/>
      <c r="V86" s="515"/>
      <c r="W86" s="515"/>
      <c r="X86" s="515"/>
    </row>
    <row r="87" spans="1:29" ht="18" customHeight="1">
      <c r="E87" s="517"/>
      <c r="F87" s="517"/>
      <c r="G87" s="517"/>
      <c r="H87" s="517"/>
      <c r="I87" s="517"/>
      <c r="J87" s="517"/>
      <c r="K87" s="517"/>
      <c r="L87" s="517"/>
      <c r="M87" s="517"/>
      <c r="N87" s="517"/>
      <c r="O87" s="517"/>
      <c r="P87" s="517"/>
      <c r="Q87" s="517"/>
      <c r="R87" s="517"/>
      <c r="S87" s="505"/>
      <c r="T87" s="510">
        <f t="shared" si="11"/>
        <v>13</v>
      </c>
      <c r="U87" s="515"/>
      <c r="V87" s="515"/>
      <c r="W87" s="515"/>
      <c r="X87" s="515"/>
    </row>
    <row r="88" spans="1:29" ht="18" customHeight="1">
      <c r="D88" s="505" t="s">
        <v>1738</v>
      </c>
      <c r="E88" s="514">
        <f>SUM(E76:E87)</f>
        <v>0</v>
      </c>
      <c r="F88" s="514">
        <f t="shared" ref="F88:R88" si="12">SUM(F76:F87)</f>
        <v>0</v>
      </c>
      <c r="G88" s="514">
        <f t="shared" si="12"/>
        <v>0</v>
      </c>
      <c r="H88" s="514">
        <f t="shared" si="12"/>
        <v>0</v>
      </c>
      <c r="I88" s="514">
        <f t="shared" si="12"/>
        <v>0</v>
      </c>
      <c r="J88" s="514">
        <f t="shared" ref="J88:K88" si="13">SUM(J76:J87)</f>
        <v>0</v>
      </c>
      <c r="K88" s="514">
        <f t="shared" si="13"/>
        <v>0</v>
      </c>
      <c r="L88" s="514">
        <f t="shared" si="12"/>
        <v>0</v>
      </c>
      <c r="M88" s="514">
        <f t="shared" si="12"/>
        <v>0</v>
      </c>
      <c r="N88" s="514">
        <f t="shared" si="12"/>
        <v>0</v>
      </c>
      <c r="O88" s="514">
        <f t="shared" si="12"/>
        <v>0</v>
      </c>
      <c r="P88" s="514">
        <f t="shared" si="12"/>
        <v>0</v>
      </c>
      <c r="Q88" s="514">
        <f t="shared" si="12"/>
        <v>0</v>
      </c>
      <c r="R88" s="514">
        <f t="shared" si="12"/>
        <v>0</v>
      </c>
      <c r="S88" s="505"/>
      <c r="T88" s="510">
        <f t="shared" si="11"/>
        <v>14</v>
      </c>
      <c r="U88" s="515"/>
      <c r="V88" s="515"/>
      <c r="W88" s="515"/>
      <c r="X88" s="515"/>
    </row>
    <row r="89" spans="1:29" ht="18" customHeight="1">
      <c r="D89" s="505"/>
      <c r="E89" s="505"/>
      <c r="F89" s="505"/>
      <c r="G89" s="505"/>
      <c r="H89" s="505"/>
      <c r="I89" s="505"/>
      <c r="J89" s="505"/>
      <c r="K89" s="505"/>
      <c r="L89" s="505"/>
      <c r="M89" s="505"/>
      <c r="N89" s="505"/>
      <c r="O89" s="505"/>
      <c r="P89" s="505"/>
      <c r="Q89" s="505"/>
      <c r="R89" s="505"/>
      <c r="S89" s="505"/>
      <c r="T89" s="518"/>
      <c r="U89" s="515"/>
      <c r="V89" s="515"/>
      <c r="W89" s="515"/>
      <c r="X89" s="515"/>
    </row>
    <row r="90" spans="1:29" ht="18" customHeight="1">
      <c r="A90" s="515"/>
      <c r="B90" s="515"/>
      <c r="I90" s="515"/>
      <c r="J90" s="515"/>
      <c r="K90" s="515"/>
      <c r="L90" s="515"/>
      <c r="M90" s="515"/>
    </row>
    <row r="91" spans="1:29" ht="18" customHeight="1">
      <c r="C91" s="20" t="s">
        <v>77</v>
      </c>
      <c r="D91" s="507" t="s">
        <v>1764</v>
      </c>
      <c r="E91" s="494"/>
      <c r="F91" s="494"/>
      <c r="G91" s="494"/>
      <c r="H91" s="494"/>
      <c r="I91" s="494"/>
      <c r="J91" s="494"/>
      <c r="K91" s="494"/>
      <c r="L91" s="494"/>
      <c r="M91" s="494"/>
      <c r="N91" s="494"/>
      <c r="P91" s="505"/>
      <c r="Q91" s="500"/>
      <c r="R91" s="515"/>
      <c r="S91" s="515"/>
      <c r="T91" s="515"/>
      <c r="U91" s="515"/>
      <c r="V91" s="515"/>
      <c r="W91" s="515"/>
      <c r="X91" s="515"/>
      <c r="Y91" s="515"/>
      <c r="Z91" s="515"/>
      <c r="AA91" s="515"/>
      <c r="AB91" s="515"/>
      <c r="AC91" s="515"/>
    </row>
    <row r="92" spans="1:29" ht="135.6" customHeight="1">
      <c r="C92" s="509" t="s">
        <v>439</v>
      </c>
      <c r="D92" s="509" t="s">
        <v>1729</v>
      </c>
      <c r="E92" s="509" t="str">
        <f>Lists!E346</f>
        <v>Water supply bore hole plugging</v>
      </c>
      <c r="F92" s="509" t="str">
        <f>Lists!F346</f>
        <v>Monitoring bore hole plugging</v>
      </c>
      <c r="G92" s="509" t="str">
        <f>Lists!G346</f>
        <v>Water supply bore hole backfilling with cuttings</v>
      </c>
      <c r="H92" s="509" t="str">
        <f>Lists!H346</f>
        <v>Monitoring bore hole backfilling with cuttings</v>
      </c>
      <c r="I92" s="509" t="str">
        <f>Lists!I346</f>
        <v>Water supply bore hole grounting</v>
      </c>
      <c r="J92" s="509" t="str">
        <f>Lists!J346</f>
        <v>Monitoring bore hole grouting</v>
      </c>
      <c r="K92" s="509" t="str">
        <f>Lists!K346</f>
        <v>Water reinjection bore hole grouting</v>
      </c>
      <c r="L92" s="494"/>
      <c r="M92" s="494"/>
      <c r="N92" s="510">
        <v>1</v>
      </c>
      <c r="P92" s="505"/>
      <c r="R92" s="515"/>
      <c r="S92" s="515"/>
      <c r="T92" s="515"/>
      <c r="U92" s="515"/>
      <c r="V92" s="515"/>
      <c r="W92" s="515"/>
      <c r="X92" s="515"/>
      <c r="Y92" s="515"/>
      <c r="Z92" s="515"/>
      <c r="AA92" s="515"/>
      <c r="AB92" s="515"/>
      <c r="AC92" s="515"/>
    </row>
    <row r="93" spans="1:29" ht="18" customHeight="1">
      <c r="E93" s="53" t="s">
        <v>1765</v>
      </c>
      <c r="F93" s="53" t="s">
        <v>1765</v>
      </c>
      <c r="G93" s="53" t="s">
        <v>1765</v>
      </c>
      <c r="H93" s="53" t="s">
        <v>1765</v>
      </c>
      <c r="I93" s="53" t="s">
        <v>1765</v>
      </c>
      <c r="J93" s="53" t="s">
        <v>1765</v>
      </c>
      <c r="K93" s="53" t="s">
        <v>1765</v>
      </c>
      <c r="L93" s="494"/>
      <c r="M93" s="494"/>
      <c r="N93" s="510">
        <f>N92+1</f>
        <v>2</v>
      </c>
      <c r="P93" s="505"/>
      <c r="R93" s="515"/>
      <c r="S93" s="515"/>
      <c r="T93" s="515"/>
      <c r="U93" s="515"/>
      <c r="V93" s="515"/>
      <c r="W93" s="515"/>
      <c r="X93" s="515"/>
      <c r="Y93" s="515"/>
      <c r="Z93" s="515"/>
      <c r="AA93" s="515"/>
      <c r="AB93" s="515"/>
      <c r="AC93" s="515"/>
    </row>
    <row r="94" spans="1:29" s="520" customFormat="1" ht="12.75">
      <c r="B94" s="520">
        <v>1</v>
      </c>
      <c r="C94" s="137"/>
      <c r="D94" s="140"/>
      <c r="E94" s="156"/>
      <c r="F94" s="156"/>
      <c r="G94" s="156"/>
      <c r="H94" s="156"/>
      <c r="I94" s="156"/>
      <c r="J94" s="156"/>
      <c r="K94" s="156"/>
      <c r="N94" s="521">
        <f t="shared" ref="N94:N105" si="14">N93+1</f>
        <v>3</v>
      </c>
      <c r="Q94" s="522"/>
      <c r="R94" s="523"/>
      <c r="S94" s="523"/>
      <c r="T94" s="523"/>
      <c r="U94" s="523"/>
      <c r="V94" s="523"/>
      <c r="W94" s="523"/>
      <c r="X94" s="523"/>
      <c r="Y94" s="523"/>
      <c r="Z94" s="523"/>
      <c r="AA94" s="523"/>
      <c r="AB94" s="523"/>
      <c r="AC94" s="523"/>
    </row>
    <row r="95" spans="1:29" s="520" customFormat="1" ht="12.75">
      <c r="B95" s="520">
        <v>2</v>
      </c>
      <c r="C95" s="137"/>
      <c r="D95" s="140"/>
      <c r="E95" s="156"/>
      <c r="F95" s="156"/>
      <c r="G95" s="156"/>
      <c r="H95" s="156"/>
      <c r="I95" s="156"/>
      <c r="J95" s="156"/>
      <c r="K95" s="156"/>
      <c r="N95" s="521">
        <f t="shared" si="14"/>
        <v>4</v>
      </c>
      <c r="Q95" s="522"/>
      <c r="R95" s="523"/>
      <c r="S95" s="523"/>
      <c r="T95" s="523"/>
      <c r="U95" s="523"/>
      <c r="V95" s="523"/>
      <c r="W95" s="523"/>
      <c r="X95" s="523"/>
      <c r="Y95" s="523"/>
      <c r="Z95" s="523"/>
      <c r="AA95" s="523"/>
      <c r="AB95" s="523"/>
      <c r="AC95" s="523"/>
    </row>
    <row r="96" spans="1:29" s="520" customFormat="1" ht="12.75">
      <c r="B96" s="520">
        <v>3</v>
      </c>
      <c r="C96" s="137"/>
      <c r="D96" s="140"/>
      <c r="E96" s="156"/>
      <c r="F96" s="156"/>
      <c r="G96" s="156"/>
      <c r="H96" s="156"/>
      <c r="I96" s="156"/>
      <c r="J96" s="156"/>
      <c r="K96" s="156"/>
      <c r="N96" s="521">
        <f t="shared" si="14"/>
        <v>5</v>
      </c>
      <c r="Q96" s="522"/>
      <c r="R96" s="523"/>
      <c r="S96" s="523"/>
      <c r="T96" s="523"/>
      <c r="U96" s="523"/>
    </row>
    <row r="97" spans="2:29" s="520" customFormat="1" ht="12.75">
      <c r="B97" s="520">
        <v>4</v>
      </c>
      <c r="C97" s="137"/>
      <c r="D97" s="140"/>
      <c r="E97" s="156"/>
      <c r="F97" s="156"/>
      <c r="G97" s="156"/>
      <c r="H97" s="156"/>
      <c r="I97" s="156"/>
      <c r="J97" s="156"/>
      <c r="K97" s="156"/>
      <c r="N97" s="521">
        <f t="shared" si="14"/>
        <v>6</v>
      </c>
      <c r="Q97" s="522"/>
      <c r="R97" s="523"/>
      <c r="S97" s="523"/>
      <c r="T97" s="523"/>
      <c r="U97" s="523"/>
    </row>
    <row r="98" spans="2:29" s="520" customFormat="1" ht="12.75">
      <c r="B98" s="520">
        <v>5</v>
      </c>
      <c r="C98" s="137"/>
      <c r="D98" s="140"/>
      <c r="E98" s="156"/>
      <c r="F98" s="156"/>
      <c r="G98" s="156"/>
      <c r="H98" s="156"/>
      <c r="I98" s="156"/>
      <c r="J98" s="156"/>
      <c r="K98" s="156"/>
      <c r="N98" s="521">
        <f t="shared" si="14"/>
        <v>7</v>
      </c>
      <c r="Q98" s="522"/>
      <c r="R98" s="523"/>
      <c r="S98" s="523"/>
      <c r="T98" s="523"/>
      <c r="U98" s="523"/>
    </row>
    <row r="99" spans="2:29" s="520" customFormat="1" ht="12.75">
      <c r="B99" s="520">
        <v>6</v>
      </c>
      <c r="C99" s="137"/>
      <c r="D99" s="140"/>
      <c r="E99" s="156"/>
      <c r="F99" s="156"/>
      <c r="G99" s="156"/>
      <c r="H99" s="156"/>
      <c r="I99" s="156"/>
      <c r="J99" s="156"/>
      <c r="K99" s="156"/>
      <c r="N99" s="521">
        <f t="shared" si="14"/>
        <v>8</v>
      </c>
      <c r="Q99" s="522"/>
      <c r="R99" s="523"/>
      <c r="S99" s="523"/>
      <c r="T99" s="523"/>
      <c r="U99" s="523"/>
    </row>
    <row r="100" spans="2:29" s="520" customFormat="1" ht="12.75">
      <c r="B100" s="520">
        <v>7</v>
      </c>
      <c r="C100" s="137"/>
      <c r="D100" s="140"/>
      <c r="E100" s="156"/>
      <c r="F100" s="156"/>
      <c r="G100" s="156"/>
      <c r="H100" s="156"/>
      <c r="I100" s="156"/>
      <c r="J100" s="156"/>
      <c r="K100" s="156"/>
      <c r="N100" s="521">
        <f t="shared" si="14"/>
        <v>9</v>
      </c>
      <c r="Q100" s="522"/>
      <c r="R100" s="523"/>
      <c r="S100" s="523"/>
      <c r="T100" s="523"/>
      <c r="U100" s="523"/>
    </row>
    <row r="101" spans="2:29" s="520" customFormat="1" ht="12.75">
      <c r="B101" s="520">
        <v>8</v>
      </c>
      <c r="C101" s="137"/>
      <c r="D101" s="140"/>
      <c r="E101" s="156"/>
      <c r="F101" s="156"/>
      <c r="G101" s="156"/>
      <c r="H101" s="156"/>
      <c r="I101" s="156"/>
      <c r="J101" s="156"/>
      <c r="K101" s="156"/>
      <c r="N101" s="521">
        <f t="shared" si="14"/>
        <v>10</v>
      </c>
      <c r="Q101" s="522"/>
      <c r="R101" s="523"/>
      <c r="S101" s="523"/>
      <c r="T101" s="523"/>
      <c r="U101" s="523"/>
    </row>
    <row r="102" spans="2:29" s="520" customFormat="1" ht="12.75">
      <c r="B102" s="520">
        <v>9</v>
      </c>
      <c r="C102" s="137"/>
      <c r="D102" s="140"/>
      <c r="E102" s="156"/>
      <c r="F102" s="156"/>
      <c r="G102" s="156"/>
      <c r="H102" s="156"/>
      <c r="I102" s="156"/>
      <c r="J102" s="156"/>
      <c r="K102" s="156"/>
      <c r="N102" s="521">
        <f t="shared" si="14"/>
        <v>11</v>
      </c>
      <c r="Q102" s="522"/>
      <c r="R102" s="523"/>
      <c r="S102" s="523"/>
      <c r="T102" s="523"/>
      <c r="U102" s="523"/>
    </row>
    <row r="103" spans="2:29" s="520" customFormat="1" ht="12.75">
      <c r="B103" s="520">
        <v>10</v>
      </c>
      <c r="C103" s="137"/>
      <c r="D103" s="140"/>
      <c r="E103" s="156"/>
      <c r="F103" s="156"/>
      <c r="G103" s="156"/>
      <c r="H103" s="156"/>
      <c r="I103" s="156"/>
      <c r="J103" s="156"/>
      <c r="K103" s="156"/>
      <c r="N103" s="521">
        <f t="shared" si="14"/>
        <v>12</v>
      </c>
      <c r="Q103" s="522"/>
      <c r="R103" s="523"/>
      <c r="S103" s="523"/>
      <c r="T103" s="523"/>
      <c r="U103" s="523"/>
    </row>
    <row r="104" spans="2:29" ht="18" customHeight="1">
      <c r="E104" s="494"/>
      <c r="F104" s="494"/>
      <c r="G104" s="494"/>
      <c r="H104" s="494"/>
      <c r="I104" s="494"/>
      <c r="J104" s="494"/>
      <c r="K104" s="494"/>
      <c r="L104" s="494"/>
      <c r="M104" s="494"/>
      <c r="N104" s="510">
        <f t="shared" si="14"/>
        <v>13</v>
      </c>
      <c r="P104" s="505"/>
      <c r="Q104" s="515"/>
      <c r="R104" s="515"/>
      <c r="S104" s="515"/>
      <c r="T104" s="515"/>
      <c r="U104" s="515"/>
    </row>
    <row r="105" spans="2:29" ht="18" customHeight="1">
      <c r="D105" s="505" t="s">
        <v>1738</v>
      </c>
      <c r="E105" s="524">
        <f>SUM(E93:E104)</f>
        <v>0</v>
      </c>
      <c r="F105" s="524">
        <f t="shared" ref="F105:K105" si="15">SUM(F93:F104)</f>
        <v>0</v>
      </c>
      <c r="G105" s="524">
        <f t="shared" si="15"/>
        <v>0</v>
      </c>
      <c r="H105" s="524">
        <f t="shared" si="15"/>
        <v>0</v>
      </c>
      <c r="I105" s="524">
        <f t="shared" si="15"/>
        <v>0</v>
      </c>
      <c r="J105" s="524">
        <f t="shared" si="15"/>
        <v>0</v>
      </c>
      <c r="K105" s="524">
        <f t="shared" si="15"/>
        <v>0</v>
      </c>
      <c r="L105" s="494"/>
      <c r="M105" s="494"/>
      <c r="N105" s="510">
        <f t="shared" si="14"/>
        <v>14</v>
      </c>
      <c r="P105" s="505"/>
      <c r="Q105" s="518"/>
      <c r="R105" s="515"/>
      <c r="S105" s="515"/>
      <c r="T105" s="515"/>
      <c r="U105" s="515"/>
    </row>
    <row r="106" spans="2:29" ht="18" customHeight="1">
      <c r="D106" s="505"/>
      <c r="E106" s="505"/>
      <c r="F106" s="505"/>
      <c r="G106" s="505"/>
      <c r="H106" s="505"/>
      <c r="I106" s="505"/>
      <c r="J106" s="505"/>
      <c r="K106" s="505"/>
      <c r="L106" s="494"/>
      <c r="M106" s="494"/>
      <c r="N106" s="494"/>
      <c r="P106" s="505"/>
      <c r="Q106" s="518"/>
      <c r="R106" s="515"/>
      <c r="S106" s="515"/>
      <c r="T106" s="515"/>
      <c r="U106" s="515"/>
    </row>
    <row r="107" spans="2:29" s="515" customFormat="1" ht="18" customHeight="1">
      <c r="Q107" s="494"/>
    </row>
    <row r="108" spans="2:29" ht="18" customHeight="1">
      <c r="E108" s="494"/>
      <c r="F108" s="494"/>
      <c r="G108" s="494"/>
      <c r="H108" s="494"/>
      <c r="I108" s="494"/>
      <c r="J108" s="494"/>
      <c r="K108" s="494"/>
      <c r="L108" s="515"/>
      <c r="M108" s="515"/>
      <c r="N108" s="515"/>
      <c r="O108" s="515"/>
      <c r="P108" s="515"/>
      <c r="R108" s="515"/>
      <c r="S108" s="515"/>
      <c r="T108" s="515"/>
      <c r="U108" s="515"/>
      <c r="V108" s="515"/>
      <c r="W108" s="515"/>
      <c r="X108" s="515"/>
      <c r="Y108" s="515"/>
      <c r="Z108" s="515"/>
      <c r="AA108" s="515"/>
      <c r="AB108" s="515"/>
      <c r="AC108" s="515"/>
    </row>
    <row r="109" spans="2:29" ht="12.75">
      <c r="F109" s="500"/>
      <c r="G109" s="500"/>
      <c r="H109" s="500"/>
      <c r="I109" s="500"/>
      <c r="J109" s="500"/>
      <c r="K109" s="500"/>
      <c r="L109" s="500"/>
      <c r="M109" s="500"/>
      <c r="N109" s="500"/>
      <c r="O109" s="500"/>
      <c r="P109" s="500"/>
      <c r="Q109" s="500"/>
      <c r="R109" s="500"/>
      <c r="S109" s="500"/>
      <c r="T109" s="500"/>
      <c r="U109" s="500"/>
      <c r="V109" s="500"/>
      <c r="W109" s="500"/>
      <c r="X109" s="500"/>
      <c r="Y109" s="500"/>
      <c r="Z109" s="500"/>
      <c r="AA109" s="500"/>
    </row>
    <row r="110" spans="2:29" ht="12.75">
      <c r="F110" s="500"/>
      <c r="G110" s="500"/>
      <c r="H110" s="500"/>
      <c r="I110" s="500"/>
      <c r="N110" s="515"/>
    </row>
    <row r="111" spans="2:29" ht="12.75">
      <c r="F111" s="500"/>
      <c r="G111" s="500"/>
      <c r="H111" s="500"/>
      <c r="I111" s="500"/>
      <c r="N111" s="515"/>
    </row>
    <row r="112" spans="2:29" ht="12.75">
      <c r="F112" s="500"/>
      <c r="G112" s="500"/>
      <c r="H112" s="500"/>
      <c r="I112" s="500"/>
      <c r="N112" s="515"/>
    </row>
    <row r="113" spans="14:14" ht="12.75">
      <c r="N113" s="515"/>
    </row>
    <row r="114" spans="14:14" ht="12.75">
      <c r="N114" s="515"/>
    </row>
    <row r="115" spans="14:14" ht="12.75">
      <c r="N115" s="515"/>
    </row>
  </sheetData>
  <sheetProtection algorithmName="SHA-512" hashValue="yAkySLtBBVysCsoZE8gIsot4qHN8ttBwKY6eyWUW6rx14x42LI6zYN2s3NYsm7uDs+xc76MWzQrUkLSpByPJGQ==" saltValue="TppWDIUZqyPC2GqzxcVpRw==" spinCount="100000" sheet="1" objects="1" scenarios="1" autoFilter="0"/>
  <conditionalFormatting sqref="B36:I36">
    <cfRule type="containsText" dxfId="14" priority="49" operator="containsText" text="ok">
      <formula>NOT(ISERROR(SEARCH("ok",B36)))</formula>
    </cfRule>
    <cfRule type="containsText" dxfId="13" priority="50" operator="containsText" text="Enter">
      <formula>NOT(ISERROR(SEARCH("Enter",B36)))</formula>
    </cfRule>
  </conditionalFormatting>
  <conditionalFormatting sqref="Q60:Q69">
    <cfRule type="containsText" dxfId="12" priority="37" operator="containsText" text="ok">
      <formula>NOT(ISERROR(SEARCH("ok",Q60)))</formula>
    </cfRule>
    <cfRule type="containsText" dxfId="11" priority="38" operator="containsText" text="Enter">
      <formula>NOT(ISERROR(SEARCH("Enter",Q60)))</formula>
    </cfRule>
  </conditionalFormatting>
  <conditionalFormatting sqref="Q94:Q103">
    <cfRule type="containsText" dxfId="10" priority="29" operator="containsText" text="ok">
      <formula>NOT(ISERROR(SEARCH("ok",Q94)))</formula>
    </cfRule>
    <cfRule type="containsText" dxfId="9" priority="30" operator="containsText" text="Enter">
      <formula>NOT(ISERROR(SEARCH("Enter",Q94)))</formula>
    </cfRule>
  </conditionalFormatting>
  <dataValidations disablePrompts="1" count="2">
    <dataValidation type="whole" allowBlank="1" showInputMessage="1" showErrorMessage="1" sqref="E77:F86" xr:uid="{B4762861-EDC9-4677-A187-41CE4A94DD54}">
      <formula1>0</formula1>
      <formula2>10000000</formula2>
    </dataValidation>
    <dataValidation type="whole" allowBlank="1" showInputMessage="1" showErrorMessage="1" sqref="E94:K103" xr:uid="{E0DC3B5A-C985-470D-BA9E-2C2438371B05}">
      <formula1>0</formula1>
      <formula2>1000000</formula2>
    </dataValidation>
  </dataValidations>
  <hyperlinks>
    <hyperlink ref="C23" location="Top_GLR" display="Top" xr:uid="{5C2D1E2C-F0CC-45BC-BDE1-2A9092017EB4}"/>
    <hyperlink ref="C3" location="CONTENTS" display="Contents" xr:uid="{13120F49-9D9D-4000-BF9A-31E617F8B09D}"/>
    <hyperlink ref="C40" location="Top_GLR" display="Top" xr:uid="{1E365761-99B1-4C7F-BC16-53B3697C1707}"/>
    <hyperlink ref="C57" location="Top_GLR" display="Top" xr:uid="{93843CE2-2FFB-4B1F-921B-5FC3BDF28B89}"/>
    <hyperlink ref="C74" location="Top_GLR" display="Top" xr:uid="{0B1F1922-5C68-4A7A-AF21-3D7F012B87A1}"/>
    <hyperlink ref="C91" location="Top_GLR" display="Top" xr:uid="{E95DCF08-766B-4EC6-A64F-2D4B9A757CAA}"/>
  </hyperlinks>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ReviewCycle xmlns="a6eb6d0f-3f21-4dd7-afed-8d5f3983301e">2 years</ReviewCycle>
    <eDRMSReference xmlns="a6eb6d0f-3f21-4dd7-afed-8d5f3983301e" xsi:nil="true"/>
    <ReviewDate xmlns="a6eb6d0f-3f21-4dd7-afed-8d5f3983301e">2026-02-13T14:00:00+00:00</ReviewDate>
    <LastReviewed xmlns="a6eb6d0f-3f21-4dd7-afed-8d5f3983301e">2024-02-13T14:00:00+00:00</LastReviewed>
    <CTS_x002d_MECSReference xmlns="a6eb6d0f-3f21-4dd7-afed-8d5f3983301e" xsi:nil="true"/>
    <InternetPresenceType xmlns="a6eb6d0f-3f21-4dd7-afed-8d5f3983301e">3</InternetPresenceType>
    <DocumentType xmlns="a6eb6d0f-3f21-4dd7-afed-8d5f3983301e">24</DocumentType>
    <Theme xmlns="a6eb6d0f-3f21-4dd7-afed-8d5f3983301e">131</Theme>
    <Status xmlns="a6eb6d0f-3f21-4dd7-afed-8d5f3983301e">1</Status>
    <DocumentVersion xmlns="a6eb6d0f-3f21-4dd7-afed-8d5f3983301e">6.05</DocumentVersion>
    <Description0 xmlns="a6eb6d0f-3f21-4dd7-afed-8d5f3983301e">This spreadsheet tool assists environmental authority holders calculate estimated rehabilitation cost (ERC) for petroleum and gas activities. All ERC calculations must be in accordance with the ERC Guideline (ESR/2018/4425).</Description0>
    <BusLevelChoice xmlns="a6eb6d0f-3f21-4dd7-afed-8d5f3983301e">ESR</BusLevelChoice>
    <BusinessAreaUnit xmlns="a6eb6d0f-3f21-4dd7-afed-8d5f3983301e">40</BusinessAreaUnit>
    <Old_x002d_PR_x002d_Reference xmlns="a6eb6d0f-3f21-4dd7-afed-8d5f3983301e">EM1273</Old_x002d_PR_x002d_Reference>
    <FileReference xmlns="a6eb6d0f-3f21-4dd7-afed-8d5f3983301e">Z:\Document Management System\Document updates\ESR-2015-1825 EM1273\Master copy</FileReference>
    <Legislation xmlns="a6eb6d0f-3f21-4dd7-afed-8d5f3983301e">
      <Value>31</Value>
    </Legislation>
    <Comment xmlns="a6eb6d0f-3f21-4dd7-afed-8d5f3983301e" xsi:nil="true"/>
    <EndorsedDate xmlns="a6eb6d0f-3f21-4dd7-afed-8d5f3983301e">2022-09-30T14:00:00+00:00</EndorsedDate>
    <_dlc_DocId xmlns="36c4576f-a6df-4ec9-86f2-9e3472ddee8f">POLICY-7-1825</_dlc_DocId>
    <_dlc_DocIdUrl xmlns="36c4576f-a6df-4ec9-86f2-9e3472ddee8f">
      <Url>https://itpqld.sharepoint.com/sites/SPO-DAF-ITP-IM-IS/PR/_layouts/15/DocIdRedir.aspx?ID=POLICY-7-1825</Url>
      <Description>POLICY-7-1825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989F9ED3AA73E4AA540DC49247935BF" ma:contentTypeVersion="36" ma:contentTypeDescription="Create a new document." ma:contentTypeScope="" ma:versionID="6f46ed8aec0ed566aa80573a2b2d17f3">
  <xsd:schema xmlns:xsd="http://www.w3.org/2001/XMLSchema" xmlns:xs="http://www.w3.org/2001/XMLSchema" xmlns:p="http://schemas.microsoft.com/office/2006/metadata/properties" xmlns:ns2="a6eb6d0f-3f21-4dd7-afed-8d5f3983301e" xmlns:ns3="36c4576f-a6df-4ec9-86f2-9e3472ddee8f" xmlns:ns4="2782494e-2240-44a0-8d37-a0cdd89a0522" targetNamespace="http://schemas.microsoft.com/office/2006/metadata/properties" ma:root="true" ma:fieldsID="db2760e5fe312e0c8b909267511a52a2" ns2:_="" ns3:_="" ns4:_="">
    <xsd:import namespace="a6eb6d0f-3f21-4dd7-afed-8d5f3983301e"/>
    <xsd:import namespace="36c4576f-a6df-4ec9-86f2-9e3472ddee8f"/>
    <xsd:import namespace="2782494e-2240-44a0-8d37-a0cdd89a0522"/>
    <xsd:element name="properties">
      <xsd:complexType>
        <xsd:sequence>
          <xsd:element name="documentManagement">
            <xsd:complexType>
              <xsd:all>
                <xsd:element ref="ns2:Description0" minOccurs="0"/>
                <xsd:element ref="ns2:DocumentType"/>
                <xsd:element ref="ns2:Status"/>
                <xsd:element ref="ns2:DocumentVersion"/>
                <xsd:element ref="ns2:Theme"/>
                <xsd:element ref="ns2:EndorsedDate" minOccurs="0"/>
                <xsd:element ref="ns2:LastReviewed"/>
                <xsd:element ref="ns2:ReviewDate"/>
                <xsd:element ref="ns2:ReviewCycle" minOccurs="0"/>
                <xsd:element ref="ns2:InternetPresenceType"/>
                <xsd:element ref="ns2:BusLevelChoice"/>
                <xsd:element ref="ns2:BusinessAreaUnit" minOccurs="0"/>
                <xsd:element ref="ns2:Old_x002d_PR_x002d_Reference" minOccurs="0"/>
                <xsd:element ref="ns2:Legislation" minOccurs="0"/>
                <xsd:element ref="ns2:FileReference" minOccurs="0"/>
                <xsd:element ref="ns2:eDRMSReference" minOccurs="0"/>
                <xsd:element ref="ns2:CTS_x002d_MECSReference" minOccurs="0"/>
                <xsd:element ref="ns2:Comment" minOccurs="0"/>
                <xsd:element ref="ns3:_dlc_DocId" minOccurs="0"/>
                <xsd:element ref="ns3:_dlc_DocIdUrl" minOccurs="0"/>
                <xsd:element ref="ns3:_dlc_DocIdPersistId" minOccurs="0"/>
                <xsd:element ref="ns4:SharedWithUsers" minOccurs="0"/>
                <xsd:element ref="ns4:SharedWithDetails" minOccurs="0"/>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eb6d0f-3f21-4dd7-afed-8d5f3983301e" elementFormDefault="qualified">
    <xsd:import namespace="http://schemas.microsoft.com/office/2006/documentManagement/types"/>
    <xsd:import namespace="http://schemas.microsoft.com/office/infopath/2007/PartnerControls"/>
    <xsd:element name="Description0" ma:index="2" nillable="true" ma:displayName="Subject" ma:internalName="Description0" ma:readOnly="false">
      <xsd:simpleType>
        <xsd:restriction base="dms:Note">
          <xsd:maxLength value="255"/>
        </xsd:restriction>
      </xsd:simpleType>
    </xsd:element>
    <xsd:element name="DocumentType" ma:index="4" ma:displayName="DocumentType" ma:list="{1c9aebb5-866f-4873-a78c-4bc770a8a1c1}" ma:internalName="DocumentType" ma:readOnly="false" ma:showField="Title">
      <xsd:simpleType>
        <xsd:restriction base="dms:Lookup"/>
      </xsd:simpleType>
    </xsd:element>
    <xsd:element name="Status" ma:index="5" ma:displayName="Status" ma:indexed="true" ma:list="{4038537c-e95c-4806-a81b-1f8222e26fec}" ma:internalName="Status" ma:readOnly="false" ma:showField="Title">
      <xsd:simpleType>
        <xsd:restriction base="dms:Lookup"/>
      </xsd:simpleType>
    </xsd:element>
    <xsd:element name="DocumentVersion" ma:index="6" ma:displayName="DocVersion" ma:decimals="2" ma:description="Version number displayed on document (Not SharePoint version number)" ma:internalName="DocumentVersion" ma:readOnly="false" ma:percentage="FALSE">
      <xsd:simpleType>
        <xsd:restriction base="dms:Number">
          <xsd:maxInclusive value="999"/>
        </xsd:restriction>
      </xsd:simpleType>
    </xsd:element>
    <xsd:element name="Theme" ma:index="7" ma:displayName="Theme" ma:indexed="true" ma:list="{440d9290-a79f-4d7d-b666-e2299f9b8423}" ma:internalName="Theme" ma:readOnly="false" ma:showField="Theme">
      <xsd:simpleType>
        <xsd:restriction base="dms:Lookup"/>
      </xsd:simpleType>
    </xsd:element>
    <xsd:element name="EndorsedDate" ma:index="9" nillable="true" ma:displayName="EffectiveDate" ma:description="Effective date for major version of document" ma:format="DateOnly" ma:internalName="EndorsedDate" ma:readOnly="false">
      <xsd:simpleType>
        <xsd:restriction base="dms:DateTime"/>
      </xsd:simpleType>
    </xsd:element>
    <xsd:element name="LastReviewed" ma:index="10" ma:displayName="LastReviewed" ma:format="DateOnly" ma:internalName="LastReviewed" ma:readOnly="false">
      <xsd:simpleType>
        <xsd:restriction base="dms:DateTime"/>
      </xsd:simpleType>
    </xsd:element>
    <xsd:element name="ReviewDate" ma:index="11" ma:displayName="NextReviewDue" ma:format="DateOnly" ma:indexed="true" ma:internalName="ReviewDate" ma:readOnly="false">
      <xsd:simpleType>
        <xsd:restriction base="dms:DateTime"/>
      </xsd:simpleType>
    </xsd:element>
    <xsd:element name="ReviewCycle" ma:index="12" nillable="true" ma:displayName="ReviewCycle" ma:description="Prescribed duration for review of document" ma:format="Dropdown" ma:internalName="ReviewCycle" ma:readOnly="false">
      <xsd:simpleType>
        <xsd:restriction base="dms:Choice">
          <xsd:enumeration value="1 year"/>
          <xsd:enumeration value="1.5 years"/>
          <xsd:enumeration value="2 years"/>
          <xsd:enumeration value="3 years"/>
          <xsd:enumeration value="5 years"/>
          <xsd:enumeration value="10 years"/>
        </xsd:restriction>
      </xsd:simpleType>
    </xsd:element>
    <xsd:element name="InternetPresenceType" ma:index="13" ma:displayName="InternetVisibility" ma:description="Defines what material is published to the departmental Internet site" ma:list="{22773ff3-5370-4583-ae62-5f55be26bc75}" ma:internalName="InternetPresenceType" ma:readOnly="false" ma:showField="Title">
      <xsd:simpleType>
        <xsd:restriction base="dms:Lookup"/>
      </xsd:simpleType>
    </xsd:element>
    <xsd:element name="BusLevelChoice" ma:index="14" ma:displayName="BusinessArea" ma:format="Dropdown" ma:internalName="BusLevelChoice" ma:readOnly="false">
      <xsd:simpleType>
        <xsd:restriction base="dms:Choice">
          <xsd:enumeration value="AGR"/>
          <xsd:enumeration value="ASQ"/>
          <xsd:enumeration value="BQ"/>
          <xsd:enumeration value="CHA"/>
          <xsd:enumeration value="CHB"/>
          <xsd:enumeration value="CHC"/>
          <xsd:enumeration value="CHD"/>
          <xsd:enumeration value="CHE"/>
          <xsd:enumeration value="CSS"/>
          <xsd:enumeration value="ENE"/>
          <xsd:enumeration value="EPP"/>
          <xsd:enumeration value="ESR"/>
          <xsd:enumeration value="FIS"/>
          <xsd:enumeration value="FMPM"/>
          <xsd:enumeration value="GLP"/>
          <xsd:enumeration value="HHQ"/>
          <xsd:enumeration value="IHL"/>
          <xsd:enumeration value="IMP"/>
          <xsd:enumeration value="ITP"/>
          <xsd:enumeration value="LTP"/>
          <xsd:enumeration value="LND"/>
          <xsd:enumeration value="MIN"/>
          <xsd:enumeration value="NCS"/>
          <xsd:enumeration value="NRC"/>
          <xsd:enumeration value="NRO"/>
          <xsd:enumeration value="NTP"/>
          <xsd:enumeration value="ORR"/>
          <xsd:enumeration value="OSW"/>
          <xsd:enumeration value="QPW"/>
          <xsd:enumeration value="QRIC"/>
          <xsd:enumeration value="RSC"/>
          <xsd:enumeration value="RED"/>
          <xsd:enumeration value="SCI"/>
          <xsd:enumeration value="SIG"/>
          <xsd:enumeration value="SLM"/>
          <xsd:enumeration value="UWS"/>
          <xsd:enumeration value="VAL"/>
          <xsd:enumeration value="VEG"/>
          <xsd:enumeration value="WM"/>
          <xsd:enumeration value="WSS"/>
          <xsd:enumeration value="WTM"/>
        </xsd:restriction>
      </xsd:simpleType>
    </xsd:element>
    <xsd:element name="BusinessAreaUnit" ma:index="15" nillable="true" ma:displayName="BusinessAreaSubUnit" ma:list="{53eef7cf-c74c-49eb-9b76-5dd9e1026505}" ma:internalName="BusinessAreaUnit" ma:readOnly="false" ma:showField="Title">
      <xsd:simpleType>
        <xsd:restriction base="dms:Lookup"/>
      </xsd:simpleType>
    </xsd:element>
    <xsd:element name="Old_x002d_PR_x002d_Reference" ma:index="16" nillable="true" ma:displayName="PreviousID" ma:description="Reference or identifier used by a previous system" ma:indexed="true" ma:internalName="Old_x002d_PR_x002d_Reference" ma:readOnly="false">
      <xsd:simpleType>
        <xsd:restriction base="dms:Text">
          <xsd:maxLength value="255"/>
        </xsd:restriction>
      </xsd:simpleType>
    </xsd:element>
    <xsd:element name="Legislation" ma:index="17" nillable="true" ma:displayName="Legislation" ma:description="Select the primary authoritative acts" ma:list="{d8d5934d-cb53-4edc-99dd-c215c0dc88bc}" ma:internalName="Legislation" ma:readOnly="false" ma:showField="Title">
      <xsd:complexType>
        <xsd:complexContent>
          <xsd:extension base="dms:MultiChoiceLookup">
            <xsd:sequence>
              <xsd:element name="Value" type="dms:Lookup" maxOccurs="unbounded" minOccurs="0" nillable="true"/>
            </xsd:sequence>
          </xsd:extension>
        </xsd:complexContent>
      </xsd:complexType>
    </xsd:element>
    <xsd:element name="FileReference" ma:index="18" nillable="true" ma:displayName="NetworkPath" ma:description="Network drive and path for source folder of document file" ma:internalName="FileReference" ma:readOnly="false">
      <xsd:simpleType>
        <xsd:restriction base="dms:Text">
          <xsd:maxLength value="255"/>
        </xsd:restriction>
      </xsd:simpleType>
    </xsd:element>
    <xsd:element name="eDRMSReference" ma:index="19" nillable="true" ma:displayName="eDOCS" ma:format="Dropdown" ma:internalName="eDRMSReference" ma:percentage="FALSE">
      <xsd:simpleType>
        <xsd:restriction base="dms:Number"/>
      </xsd:simpleType>
    </xsd:element>
    <xsd:element name="CTS_x002d_MECSReference" ma:index="20" nillable="true" ma:displayName="CTS-MECSReference" ma:internalName="CTS_x002d_MECSReference" ma:readOnly="false">
      <xsd:simpleType>
        <xsd:restriction base="dms:Text">
          <xsd:maxLength value="1"/>
        </xsd:restriction>
      </xsd:simpleType>
    </xsd:element>
    <xsd:element name="Comment" ma:index="21" nillable="true" ma:displayName="Comment" ma:description="Do not use this field - to be retired" ma:internalName="Comment" ma:readOnly="false">
      <xsd:simpleType>
        <xsd:restriction base="dms:Text">
          <xsd:maxLength value="1"/>
        </xsd:restriction>
      </xsd:simpleType>
    </xsd:element>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MediaServiceSearchProperties" ma:index="3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c4576f-a6df-4ec9-86f2-9e3472ddee8f" elementFormDefault="qualified">
    <xsd:import namespace="http://schemas.microsoft.com/office/2006/documentManagement/types"/>
    <xsd:import namespace="http://schemas.microsoft.com/office/infopath/2007/PartnerControls"/>
    <xsd:element name="_dlc_DocId" ma:index="24" nillable="true" ma:displayName="Document ID Value" ma:description="The value of the document ID assigned to this item." ma:indexed="true" ma:internalName="_dlc_DocId" ma:readOnly="true">
      <xsd:simpleType>
        <xsd:restriction base="dms:Text"/>
      </xsd:simpleType>
    </xsd:element>
    <xsd:element name="_dlc_DocIdUrl" ma:index="2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2782494e-2240-44a0-8d37-a0cdd89a0522"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3" ma:displayName="Content Type"/>
        <xsd:element ref="dc:title" minOccurs="0" maxOccurs="1" ma:index="1" ma:displayName="Title"/>
        <xsd:element ref="dc:subject" minOccurs="0" maxOccurs="1"/>
        <xsd:element ref="dc:description" minOccurs="0" maxOccurs="1"/>
        <xsd:element name="keywords" maxOccurs="1" ma:index="8" ma:displayName="Keywords">
          <xsd:simpleType xmlns:xs="http://www.w3.org/2001/XMLSchema">
            <xsd:restriction base="xsd:string">
              <xsd:minLength value="1"/>
            </xsd:restriction>
          </xsd:simpleType>
        </xsd:element>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6C5D560-57D1-4CCC-9FBB-4D9D0B72E9EA}">
  <ds:schemaRefs>
    <ds:schemaRef ds:uri="http://schemas.microsoft.com/sharepoint/v3/contenttype/forms"/>
  </ds:schemaRefs>
</ds:datastoreItem>
</file>

<file path=customXml/itemProps2.xml><?xml version="1.0" encoding="utf-8"?>
<ds:datastoreItem xmlns:ds="http://schemas.openxmlformats.org/officeDocument/2006/customXml" ds:itemID="{D36197CA-6996-44B7-A7B9-2C7C61FA4C5F}">
  <ds:schemaRefs>
    <ds:schemaRef ds:uri="http://schemas.microsoft.com/sharepoint/events"/>
  </ds:schemaRefs>
</ds:datastoreItem>
</file>

<file path=customXml/itemProps3.xml><?xml version="1.0" encoding="utf-8"?>
<ds:datastoreItem xmlns:ds="http://schemas.openxmlformats.org/officeDocument/2006/customXml" ds:itemID="{98DBF0BD-1216-4A9B-AE94-70680B5F2972}">
  <ds:schemaRefs>
    <ds:schemaRef ds:uri="http://purl.org/dc/elements/1.1/"/>
    <ds:schemaRef ds:uri="a6eb6d0f-3f21-4dd7-afed-8d5f3983301e"/>
    <ds:schemaRef ds:uri="2782494e-2240-44a0-8d37-a0cdd89a0522"/>
    <ds:schemaRef ds:uri="http://purl.org/dc/dcmitype/"/>
    <ds:schemaRef ds:uri="http://www.w3.org/XML/1998/namespace"/>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36c4576f-a6df-4ec9-86f2-9e3472ddee8f"/>
  </ds:schemaRefs>
</ds:datastoreItem>
</file>

<file path=customXml/itemProps4.xml><?xml version="1.0" encoding="utf-8"?>
<ds:datastoreItem xmlns:ds="http://schemas.openxmlformats.org/officeDocument/2006/customXml" ds:itemID="{A0436EC0-E461-4065-BC6D-37CB1E639952}"/>
</file>

<file path=customXml/itemProps5.xml><?xml version="1.0" encoding="utf-8"?>
<ds:datastoreItem xmlns:ds="http://schemas.openxmlformats.org/officeDocument/2006/customXml" ds:itemID="{50C24639-4B22-4DBD-8AFE-BAB53A70ADEA}"/>
</file>

<file path=docMetadata/LabelInfo.xml><?xml version="1.0" encoding="utf-8"?>
<clbl:labelList xmlns:clbl="http://schemas.microsoft.com/office/2020/mipLabelMetadata">
  <clbl:label id="{072b9295-cb3f-462b-8aaa-a3f9988da704}" enabled="0" method="" siteId="{072b9295-cb3f-462b-8aaa-a3f9988da70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178</vt:i4>
      </vt:variant>
    </vt:vector>
  </HeadingPairs>
  <TitlesOfParts>
    <vt:vector size="201" baseType="lpstr">
      <vt:lpstr>Terms-con</vt:lpstr>
      <vt:lpstr>CONTENTS</vt:lpstr>
      <vt:lpstr>Registration</vt:lpstr>
      <vt:lpstr>Information</vt:lpstr>
      <vt:lpstr>Summary</vt:lpstr>
      <vt:lpstr>Main</vt:lpstr>
      <vt:lpstr>Waste Register</vt:lpstr>
      <vt:lpstr>Input Sheets &gt;&gt;</vt:lpstr>
      <vt:lpstr>General Land Rehabilitation</vt:lpstr>
      <vt:lpstr>Wells</vt:lpstr>
      <vt:lpstr>Seismic and Infrastructure</vt:lpstr>
      <vt:lpstr>Pipelines</vt:lpstr>
      <vt:lpstr>Process Facilities</vt:lpstr>
      <vt:lpstr>Process Facilities User Build</vt:lpstr>
      <vt:lpstr>LNG Facilities User Build</vt:lpstr>
      <vt:lpstr>Water Facilities User Build</vt:lpstr>
      <vt:lpstr>Water Storage</vt:lpstr>
      <vt:lpstr>Water Storage User Build</vt:lpstr>
      <vt:lpstr>Investigation Contamination</vt:lpstr>
      <vt:lpstr>Assumptions</vt:lpstr>
      <vt:lpstr>Subrates</vt:lpstr>
      <vt:lpstr>Lists</vt:lpstr>
      <vt:lpstr>Rev History</vt:lpstr>
      <vt:lpstr>Amendments</vt:lpstr>
      <vt:lpstr>arid</vt:lpstr>
      <vt:lpstr>Arid_nme</vt:lpstr>
      <vt:lpstr>Asphalt_thick_process_def</vt:lpstr>
      <vt:lpstr>ASSUMPTIONS</vt:lpstr>
      <vt:lpstr>BuildingsMain</vt:lpstr>
      <vt:lpstr>Camps_list</vt:lpstr>
      <vt:lpstr>Camps_Subrates_Nme</vt:lpstr>
      <vt:lpstr>Camps_subs_values</vt:lpstr>
      <vt:lpstr>CampsMain</vt:lpstr>
      <vt:lpstr>CampsMainInput</vt:lpstr>
      <vt:lpstr>Coal_seam_gas_____4_wells</vt:lpstr>
      <vt:lpstr>Coal_seam_gas____4_wells</vt:lpstr>
      <vt:lpstr>Coal_seam_gas__Single</vt:lpstr>
      <vt:lpstr>Con_gas_plants_list</vt:lpstr>
      <vt:lpstr>con_oil_storage_list</vt:lpstr>
      <vt:lpstr>conc_levy_sp_mass_defs</vt:lpstr>
      <vt:lpstr>Concrete_disposal_facility</vt:lpstr>
      <vt:lpstr>concrete_slab_def</vt:lpstr>
      <vt:lpstr>Contaminants</vt:lpstr>
      <vt:lpstr>CONTENTS</vt:lpstr>
      <vt:lpstr>Conventional_gas__Single</vt:lpstr>
      <vt:lpstr>Conventional_oil__Single</vt:lpstr>
      <vt:lpstr>ConvGasMain</vt:lpstr>
      <vt:lpstr>ConvOilMain</vt:lpstr>
      <vt:lpstr>Dam_Clean_lined</vt:lpstr>
      <vt:lpstr>Dam_Clean_unlined</vt:lpstr>
      <vt:lpstr>Dam_contam</vt:lpstr>
      <vt:lpstr>dam_gm_def</vt:lpstr>
      <vt:lpstr>Dam_Heavy</vt:lpstr>
      <vt:lpstr>Dam_liner</vt:lpstr>
      <vt:lpstr>Dam_liner_spmass_def</vt:lpstr>
      <vt:lpstr>dam_lists</vt:lpstr>
      <vt:lpstr>Dam_NmeLists_Lined</vt:lpstr>
      <vt:lpstr>Dam_Regulated_NonReg</vt:lpstr>
      <vt:lpstr>dam_sed_cl_un_def</vt:lpstr>
      <vt:lpstr>dam_sed_clean_def</vt:lpstr>
      <vt:lpstr>dam_sed_heavy_def</vt:lpstr>
      <vt:lpstr>Dam_size_list</vt:lpstr>
      <vt:lpstr>Dam_size_list_area</vt:lpstr>
      <vt:lpstr>Dam_Subrates_Nme</vt:lpstr>
      <vt:lpstr>Dam_Xonliner_def</vt:lpstr>
      <vt:lpstr>Dams_area_defs</vt:lpstr>
      <vt:lpstr>DEFAULTS</vt:lpstr>
      <vt:lpstr>Density_concrete</vt:lpstr>
      <vt:lpstr>Distance_camps_GPF_etc_modules</vt:lpstr>
      <vt:lpstr>Distance_major_modules</vt:lpstr>
      <vt:lpstr>Distance_portable_blg_tanks</vt:lpstr>
      <vt:lpstr>Distance_skids</vt:lpstr>
      <vt:lpstr>Dozer_push_length</vt:lpstr>
      <vt:lpstr>Dozer_push_values</vt:lpstr>
      <vt:lpstr>Dozers</vt:lpstr>
      <vt:lpstr>ERC</vt:lpstr>
      <vt:lpstr>Exc_cut_cable</vt:lpstr>
      <vt:lpstr>Exc_cut_pipe</vt:lpstr>
      <vt:lpstr>Fleet_GM</vt:lpstr>
      <vt:lpstr>Fleet_Sediment</vt:lpstr>
      <vt:lpstr>Fleet_size</vt:lpstr>
      <vt:lpstr>Fluid</vt:lpstr>
      <vt:lpstr>Gas_Processing_Plant</vt:lpstr>
      <vt:lpstr>GasProcessMain</vt:lpstr>
      <vt:lpstr>GasProcessMainfromInput</vt:lpstr>
      <vt:lpstr>GENERAL_LAND_REHABILITATION</vt:lpstr>
      <vt:lpstr>GM_thick_process_def</vt:lpstr>
      <vt:lpstr>GPF_Lists</vt:lpstr>
      <vt:lpstr>Gravel_Plant</vt:lpstr>
      <vt:lpstr>hours</vt:lpstr>
      <vt:lpstr>INFORMATION_SHEET</vt:lpstr>
      <vt:lpstr>INFRASTRUCTURE_INPUT_SHEET</vt:lpstr>
      <vt:lpstr>Inv_Activities_area</vt:lpstr>
      <vt:lpstr>Inv_Activities_lump</vt:lpstr>
      <vt:lpstr>INVESTIGATION_CONTAMINATION</vt:lpstr>
      <vt:lpstr>Land_Subs_Nme</vt:lpstr>
      <vt:lpstr>liner_roll_defs</vt:lpstr>
      <vt:lpstr>Liquid</vt:lpstr>
      <vt:lpstr>Liquid_waste_facility</vt:lpstr>
      <vt:lpstr>LIQUIFIED_NATURAL_GAS_PROCESSING_FACILITIES</vt:lpstr>
      <vt:lpstr>LISTS</vt:lpstr>
      <vt:lpstr>LNGMain</vt:lpstr>
      <vt:lpstr>Load_and_Haul</vt:lpstr>
      <vt:lpstr>Load_and_Haul_Values</vt:lpstr>
      <vt:lpstr>LPG_plant_list</vt:lpstr>
      <vt:lpstr>LPGMain</vt:lpstr>
      <vt:lpstr>MAIN</vt:lpstr>
      <vt:lpstr>MainTableHeading1</vt:lpstr>
      <vt:lpstr>MainTableHeading1_Summary</vt:lpstr>
      <vt:lpstr>Mod_trans_back</vt:lpstr>
      <vt:lpstr>Mod_trans_loaded</vt:lpstr>
      <vt:lpstr>native</vt:lpstr>
      <vt:lpstr>Native_nme</vt:lpstr>
      <vt:lpstr>Panel_tank_con_thick</vt:lpstr>
      <vt:lpstr>pasture</vt:lpstr>
      <vt:lpstr>Pasture_nme</vt:lpstr>
      <vt:lpstr>Perm_Camp</vt:lpstr>
      <vt:lpstr>Pipe</vt:lpstr>
      <vt:lpstr>Pipe_ag_buried</vt:lpstr>
      <vt:lpstr>Pipeline_Rehab_Status</vt:lpstr>
      <vt:lpstr>PIPELINES_LAND_INPUT_SHEET</vt:lpstr>
      <vt:lpstr>Pipelines_Subrates_Nme</vt:lpstr>
      <vt:lpstr>Plants</vt:lpstr>
      <vt:lpstr>Plants_short_list</vt:lpstr>
      <vt:lpstr>PowerMain</vt:lpstr>
      <vt:lpstr>Assumptions!Print_Area</vt:lpstr>
      <vt:lpstr>'General Land Rehabilitation'!Print_Area</vt:lpstr>
      <vt:lpstr>'Investigation Contamination'!Print_Area</vt:lpstr>
      <vt:lpstr>'LNG Facilities User Build'!Print_Area</vt:lpstr>
      <vt:lpstr>'Terms-con'!Print_Area</vt:lpstr>
      <vt:lpstr>Main!Print_Titles</vt:lpstr>
      <vt:lpstr>PROCESS_FACILITIES</vt:lpstr>
      <vt:lpstr>Process_Facilities_Nme</vt:lpstr>
      <vt:lpstr>PROCESS_FACILITIES_USER_BUILD</vt:lpstr>
      <vt:lpstr>Process_facs_values_subs</vt:lpstr>
      <vt:lpstr>REGISTRATION</vt:lpstr>
      <vt:lpstr>Seed_type</vt:lpstr>
      <vt:lpstr>seed_type_wells</vt:lpstr>
      <vt:lpstr>Soil_amend_values</vt:lpstr>
      <vt:lpstr>Soil_Ammendment_Distances</vt:lpstr>
      <vt:lpstr>Stand_alone_gas_compressor</vt:lpstr>
      <vt:lpstr>Steel_density</vt:lpstr>
      <vt:lpstr>Steel_metal_dispose_facility</vt:lpstr>
      <vt:lpstr>SUB_RATES</vt:lpstr>
      <vt:lpstr>Subrates_Table_1</vt:lpstr>
      <vt:lpstr>Subrates_Table_2</vt:lpstr>
      <vt:lpstr>Subrates_Table_3</vt:lpstr>
      <vt:lpstr>Subrates_Table_4</vt:lpstr>
      <vt:lpstr>SUMMARY</vt:lpstr>
      <vt:lpstr>Surface</vt:lpstr>
      <vt:lpstr>Tank_base</vt:lpstr>
      <vt:lpstr>Tank_Concrete_Ring_nme</vt:lpstr>
      <vt:lpstr>Tank_contain</vt:lpstr>
      <vt:lpstr>Tank_geo_spmass_def</vt:lpstr>
      <vt:lpstr>Tank_gm_thick_def</vt:lpstr>
      <vt:lpstr>Tank_hor_nme</vt:lpstr>
      <vt:lpstr>Tank_liner</vt:lpstr>
      <vt:lpstr>Tank_liner_spmass_def</vt:lpstr>
      <vt:lpstr>tank_list</vt:lpstr>
      <vt:lpstr>tank_list_values</vt:lpstr>
      <vt:lpstr>Tank_Panel_nme</vt:lpstr>
      <vt:lpstr>Tank_Rainwater_nme</vt:lpstr>
      <vt:lpstr>Tank_top</vt:lpstr>
      <vt:lpstr>Tank_type</vt:lpstr>
      <vt:lpstr>Tank_value_def_hlook</vt:lpstr>
      <vt:lpstr>Tank_Vertical_nme</vt:lpstr>
      <vt:lpstr>Tank_wall</vt:lpstr>
      <vt:lpstr>TanksMain</vt:lpstr>
      <vt:lpstr>Temp_Camp</vt:lpstr>
      <vt:lpstr>TERMS_AND_CONDITIONS_OF_USE</vt:lpstr>
      <vt:lpstr>Tight___shale_gas__Single</vt:lpstr>
      <vt:lpstr>Top_GLR</vt:lpstr>
      <vt:lpstr>Top_InvSheet</vt:lpstr>
      <vt:lpstr>Track_etc_defaults</vt:lpstr>
      <vt:lpstr>Track_width_def</vt:lpstr>
      <vt:lpstr>tracks_etc_defs_cols</vt:lpstr>
      <vt:lpstr>Tracks_etc_defs_hlook</vt:lpstr>
      <vt:lpstr>tracks_etc_defs_rows</vt:lpstr>
      <vt:lpstr>Trim__rock_rake___deep_rip</vt:lpstr>
      <vt:lpstr>Truck_liquid_cap_def</vt:lpstr>
      <vt:lpstr>truck_load_mass</vt:lpstr>
      <vt:lpstr>truck_quad_mass_def</vt:lpstr>
      <vt:lpstr>truck_speed</vt:lpstr>
      <vt:lpstr>Waste_levy</vt:lpstr>
      <vt:lpstr>Waste_levy_Metro</vt:lpstr>
      <vt:lpstr>Waste_Levy_regional</vt:lpstr>
      <vt:lpstr>WASTE_REGISTER</vt:lpstr>
      <vt:lpstr>WATER_FACILITIES___USER_BUILD</vt:lpstr>
      <vt:lpstr>WATER_STORAGE_INPUT_SHEET</vt:lpstr>
      <vt:lpstr>WATER_STORAGE_USER_BUILD</vt:lpstr>
      <vt:lpstr>Water_Treatment_Plant</vt:lpstr>
      <vt:lpstr>WaterPlantMain</vt:lpstr>
      <vt:lpstr>WellList</vt:lpstr>
      <vt:lpstr>WellList_coreholes</vt:lpstr>
      <vt:lpstr>WellList_coreholes_values_subs</vt:lpstr>
      <vt:lpstr>WellList_values_subs</vt:lpstr>
      <vt:lpstr>WELLS_INPUT_SHEET</vt:lpstr>
      <vt:lpstr>Wells_pad_area_cols</vt:lpstr>
      <vt:lpstr>Wells_pad_area_rows</vt:lpstr>
      <vt:lpstr>Wells_pad_values</vt:lpstr>
      <vt:lpstr>WTP_list</vt:lpstr>
    </vt:vector>
  </TitlesOfParts>
  <Manager/>
  <Company>Department of Environment and Science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ERC Calculator - Petroleum and Gas</dc:title>
  <dc:subject/>
  <dc:creator>State of Queensland for Department of Environment and Science</dc:creator>
  <cp:keywords>ESR/2015/1825; ERC; Calculator; Petroleum and Gas; P&amp;G; Estimated Rehabilitation Cost; EP Act; Section 298</cp:keywords>
  <dc:description/>
  <cp:lastModifiedBy>Lauren Sharpe</cp:lastModifiedBy>
  <cp:revision/>
  <dcterms:created xsi:type="dcterms:W3CDTF">2018-04-09T08:48:43Z</dcterms:created>
  <dcterms:modified xsi:type="dcterms:W3CDTF">2024-02-14T03:23:29Z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0x010100B989F9ED3AA73E4AA540DC49247935BF</vt:lpwstr>
  </property>
  <property fmtid="{D5CDD505-2E9C-101B-9397-08002B2CF9AE}" pid="3" name="_dlc_DocIdItemGuid">
    <vt:lpwstr>52caed47-bb2c-4a6c-b102-9c52cf932da6</vt:lpwstr>
  </property>
  <property fmtid="{D5CDD505-2E9C-101B-9397-08002B2CF9AE}" pid="4" name="MediaServiceImageTags">
    <vt:lpwstr/>
  </property>
  <property fmtid="{D5CDD505-2E9C-101B-9397-08002B2CF9AE}" pid="5" name="eDOCS AutoSave">
    <vt:lpwstr/>
  </property>
</Properties>
</file>